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o" state="visible" r:id="rId4"/>
    <sheet sheetId="2" name="Sintética" state="visible" r:id="rId5"/>
    <sheet sheetId="3" name="Analítica" state="visible" r:id="rId6"/>
    <sheet sheetId="4" name="Parâmetros" state="visible" r:id="rId7"/>
    <sheet sheetId="5" name="Insumos" state="visible" r:id="rId8"/>
    <sheet sheetId="6" name="Curva ABC" state="visible" r:id="rId9"/>
    <sheet sheetId="7" name="Cronograma" state="visible" r:id="rId10"/>
    <sheet sheetId="8" name="Gantt" state="visible" r:id="rId11"/>
    <sheet sheetId="9" name="Feriados" state="visible" r:id="rId12"/>
    <sheet sheetId="10" name="Gráficos" state="visible" r:id="rId13"/>
    <sheet sheetId="11" name="Dados IA" state="visible" r:id="rId14"/>
    <sheet sheetId="12" name="Leia-me" state="visible" r:id="rId15"/>
    <sheet sheetId="13" name="_meta" state="veryHidden" r:id="rId16"/>
  </sheets>
  <definedNames>
    <definedName name="p_BDI">Resumo!$B$6</definedName>
    <definedName name="_xlnm.Print_Titles" localSheetId="1">'Sintética'!$1:$6</definedName>
    <definedName name="_xlnm.Print_Area" localSheetId="2">'Analítica'!$A1:$K37</definedName>
    <definedName name="_xlnm.Print_Titles" localSheetId="2">'Analítica'!$1:$6</definedName>
    <definedName name="_xlnm.Print_Titles" localSheetId="3">'Parâmetros'!$1:$5</definedName>
    <definedName name="_xlnm.Print_Titles" localSheetId="4">'Insumos'!$1:$5</definedName>
    <definedName name="_xlnm.Print_Titles" localSheetId="5">'Curva ABC'!$1:$8</definedName>
    <definedName name="_xlnm.Print_Titles" localSheetId="6">'Cronograma'!$1:$4</definedName>
    <definedName name="_xlnm.Print_Titles" localSheetId="7">'Gantt'!$1:$6</definedName>
    <definedName name="_xlnm.Print_Titles" localSheetId="10">'Dados IA'!$2:$2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B6" authorId="0">
      <text>
        <r>
          <t>BDI em % aplicado sobre o custo direto. Edite aqui: preços unitários, totais, ABC e cronograma recalculam. Named range: p_BDI. Referência: Acórdão TCU 2.622/2013 (quadro abaixo).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F8" authorId="0">
      <text>
        <r>
          <t>Qtd editável (amarelo). Custo Total, Preço c/ BDI, subtotais, Sintética, Resumo, ABC e cronograma recalculam em cadeia.</t>
        </r>
      </text>
    </comment>
  </commentList>
</comments>
</file>

<file path=xl/sharedStrings.xml><?xml version="1.0" encoding="utf-8"?>
<sst xmlns="http://schemas.openxmlformats.org/spreadsheetml/2006/main" count="847" uniqueCount="390">
  <si>
    <t>Construtora Modelo Ltda</t>
  </si>
  <si>
    <t>RESUMO DO ORÇAMENTO — ORC-2026-4384 · Residência Alto da Boa Vista — 180 m²</t>
  </si>
  <si>
    <t>Emissão 08/09/2026   ·   Competência SINAPI 06/2026 · MG   ·   Não desonerado</t>
  </si>
  <si>
    <t>Cliente</t>
  </si>
  <si>
    <t>Construtora Horizonte Ltda</t>
  </si>
  <si>
    <t>Obra / Local</t>
  </si>
  <si>
    <t>Residência Alto da Boa Vista — Rua dos Ipês, 250 — Jardim Karaíba, Uberlândia/MG</t>
  </si>
  <si>
    <t>BDI (%)  ⟵ edite aqui</t>
  </si>
  <si>
    <t>Bases de preços</t>
  </si>
  <si>
    <t>SINAPI 2026-06/MG · Composição própria</t>
  </si>
  <si>
    <t>Nº de etapas / itens</t>
  </si>
  <si>
    <t>6 / 15</t>
  </si>
  <si>
    <t>Categoria / prazo</t>
  </si>
  <si>
    <t>—  ·  prazo estimado 470 dias úteis (~94 semanas) · 08/09/2026 → 25/07/2028 (aba Gantt)</t>
  </si>
  <si>
    <t>Custo Direto (sem BDI)</t>
  </si>
  <si>
    <t>BDI (R$)</t>
  </si>
  <si>
    <t>PREÇO DE VENDA</t>
  </si>
  <si>
    <t>Critério de arredondamento</t>
  </si>
  <si>
    <t>Truncar tudo em 2 casas decimais  (Padrão do TCU) · BDI no preço unitário</t>
  </si>
  <si>
    <t>Dica: as células AMARELAS são editáveis (BDI aqui · Qtd e Custo na Analítica · % em Parâmetros · Dias, Início e regime na aba Gantt) — tudo recalcula sozinho. A planilha é protegida só contra edição acidental (senha: raeng). Detalhes na aba Leia-me.</t>
  </si>
  <si>
    <t>COMPOSIÇÃO DE CUSTO (MO / MAT / EQ)</t>
  </si>
  <si>
    <t>Mão de obra — 47,5%</t>
  </si>
  <si>
    <t>Material — 52,1%</t>
  </si>
  <si>
    <t>Equipamento — 0,4%</t>
  </si>
  <si>
    <t>Procedência da quebra (15 itens): 6 pelas parcelas do item · 9 pela base analítica (06/2026/MG). Valores da emissão.</t>
  </si>
  <si>
    <t>COMPOSIÇÃO DO BDI — Acórdão TCU 2.622/2013</t>
  </si>
  <si>
    <t>AC — Administração Central</t>
  </si>
  <si>
    <t>S — Seguros</t>
  </si>
  <si>
    <t>R — Riscos</t>
  </si>
  <si>
    <t>G — Garantias</t>
  </si>
  <si>
    <t>DF — Despesas Financeiras</t>
  </si>
  <si>
    <t>L — Lucro</t>
  </si>
  <si>
    <t>I — Impostos (PIS/COFINS/ISS/CPRB)</t>
  </si>
  <si>
    <t>BDI pela fórmula TCU</t>
  </si>
  <si>
    <t>BDI aplicado (B6)</t>
  </si>
  <si>
    <t>VERIFICAÇÕES AUTOMÁTICAS</t>
  </si>
  <si>
    <t>Cronograma fecha com o Preço de Venda</t>
  </si>
  <si>
    <t>Curva ABC soma = Custo Direto</t>
  </si>
  <si>
    <t>RESPONSÁVEL TÉCNICO PELO ORÇAMENTO</t>
  </si>
  <si>
    <t>Nome</t>
  </si>
  <si>
    <t>Eng. João da Silva</t>
  </si>
  <si>
    <t>Título / Registro</t>
  </si>
  <si>
    <t>Engenheiro Civil · CREA-MG 000000</t>
  </si>
  <si>
    <t>ART/RRT</t>
  </si>
  <si>
    <t>[nº da ART/RRT — informar]</t>
  </si>
  <si>
    <t>Empresa</t>
  </si>
  <si>
    <t>Construtora Modelo Ltda · CNPJ 00.000.000/0001-00</t>
  </si>
  <si>
    <t>___________________________________</t>
  </si>
  <si>
    <t>Eng. João da Silva — CREA-MG 000000</t>
  </si>
  <si>
    <t>PLANILHA SINTÉTICA (por etapa) — ORC-2026-4384</t>
  </si>
  <si>
    <t>Cliente: Construtora Horizonte Ltda   |   Residência Alto da Boa Vista</t>
  </si>
  <si>
    <t>Bases de preços: SINAPI 2026-06/MG · Composição própria — não desonerado   ·   Emissão: 08/09/2026</t>
  </si>
  <si>
    <t>Item</t>
  </si>
  <si>
    <t>Etapa</t>
  </si>
  <si>
    <t>Custo Direto</t>
  </si>
  <si>
    <t>BDI %</t>
  </si>
  <si>
    <t>Preço de Venda</t>
  </si>
  <si>
    <t>Peso %</t>
  </si>
  <si>
    <t>1.0</t>
  </si>
  <si>
    <t>Serviços Preliminares</t>
  </si>
  <si>
    <t>2.0</t>
  </si>
  <si>
    <t>Fundações</t>
  </si>
  <si>
    <t>3.0</t>
  </si>
  <si>
    <t>Estrutura</t>
  </si>
  <si>
    <t>4.0</t>
  </si>
  <si>
    <t>Alvenaria e Vedações</t>
  </si>
  <si>
    <t>5.0</t>
  </si>
  <si>
    <t>Instalações</t>
  </si>
  <si>
    <t>6.0</t>
  </si>
  <si>
    <t>Acabamentos</t>
  </si>
  <si>
    <t>TOTAL</t>
  </si>
  <si>
    <t>PLANILHA ORÇAMENTÁRIA ANALÍTICA — ORC-2026-4384 · Residência Alto da Boa Vista — 180 m²</t>
  </si>
  <si>
    <t>Cliente: Construtora Horizonte Ltda   |   Obra: Residência Alto da Boa Vista (Rua dos Ipês, 250 — Jardim Karaíba, Uberlândia/MG)</t>
  </si>
  <si>
    <t>SINAPI 2026-06/MG · Composição própria   |   BDI 27,03%   |   Não desonerado</t>
  </si>
  <si>
    <t>Código</t>
  </si>
  <si>
    <t>Fonte</t>
  </si>
  <si>
    <t>Descrição</t>
  </si>
  <si>
    <t>Und</t>
  </si>
  <si>
    <t>Qtd</t>
  </si>
  <si>
    <t>Custo Unit</t>
  </si>
  <si>
    <t>Custo Total</t>
  </si>
  <si>
    <t>Preço Unit c/BDI</t>
  </si>
  <si>
    <t>Preço Total c/BDI</t>
  </si>
  <si>
    <t>Memória de cálculo</t>
  </si>
  <si>
    <t>1  Serviços Preliminares</t>
  </si>
  <si>
    <t>1.1</t>
  </si>
  <si>
    <t>99059</t>
  </si>
  <si>
    <t>SINAPI</t>
  </si>
  <si>
    <t>LOCAÇÃO CONVENCIONAL DE OBRA, UTILIZANDO GABARITO DE TÁBUAS CORRIDAS PONTALETADAS A CADA 2,00M - 2 UTILIZAÇÕES. AF_03/2024</t>
  </si>
  <si>
    <t>m</t>
  </si>
  <si>
    <t>1|1.0</t>
  </si>
  <si>
    <t>1.2</t>
  </si>
  <si>
    <t>—</t>
  </si>
  <si>
    <t>Própria</t>
  </si>
  <si>
    <t>Instalação provisória de canteiro (água/energia/tapume)</t>
  </si>
  <si>
    <t>un</t>
  </si>
  <si>
    <t>Subtotal — Serviços Preliminares</t>
  </si>
  <si>
    <t>2  Fundações</t>
  </si>
  <si>
    <t>2.1</t>
  </si>
  <si>
    <t>96523</t>
  </si>
  <si>
    <t>ESCAVAÇÃO MANUAL PARA BLOCO DE COROAMENTO OU SAPATA (INCLUINDO ESCAVAÇÃO PARA COLOCAÇÃO DE FÔRMAS). AF_01/2024</t>
  </si>
  <si>
    <t>m³</t>
  </si>
  <si>
    <t>2|2.0</t>
  </si>
  <si>
    <t>2.2</t>
  </si>
  <si>
    <t>Concreto magro para lastro (preparo em obra)</t>
  </si>
  <si>
    <t>2.3</t>
  </si>
  <si>
    <t>94965</t>
  </si>
  <si>
    <t>CONCRETO FCK = 25MPA, TRAÇO 1:2,3:2,7 (EM MASSA SECA DE CIMENTO/ AREIA MÉDIA/ BRITA 1) - PREPARO MECÂNICO COM BETONEIRA 400 L. AF_05/2021</t>
  </si>
  <si>
    <t>Subtotal — Fundações</t>
  </si>
  <si>
    <t>3  Estrutura</t>
  </si>
  <si>
    <t>3.1</t>
  </si>
  <si>
    <t>Concretagem de pilares e vigas FCK 30 (com bomba)</t>
  </si>
  <si>
    <t>3|3.0</t>
  </si>
  <si>
    <t>3.2</t>
  </si>
  <si>
    <t>92917</t>
  </si>
  <si>
    <t>ARMAÇÃO DE ESTRUTURAS DIVERSAS DE CONCRETO ARMADO, EXCETO VIGAS, PILARES, LAJES E FUNDAÇÕES, UTILIZANDO AÇO CA-50 DE 8,0 MM - MONTAGEM. AF_06/2022</t>
  </si>
  <si>
    <t>kg</t>
  </si>
  <si>
    <t>3.3</t>
  </si>
  <si>
    <t>Forma de madeira para estrutura (3 reaproveitamentos)</t>
  </si>
  <si>
    <t>m²</t>
  </si>
  <si>
    <t>Subtotal — Estrutura</t>
  </si>
  <si>
    <t>4  Alvenaria e Vedações</t>
  </si>
  <si>
    <t>4.1</t>
  </si>
  <si>
    <t>103355</t>
  </si>
  <si>
    <t>ALVENARIA DE VEDAÇÃO DE BLOCOS CERÂMICOS FURADOS NA HORIZONTAL DE 11,5X14X24 CM (ESPESSURA 11,5 CM) E ARGAMASSA DE ASSENTAMENTO COM PREPARO MANUAL. AF_12/2021</t>
  </si>
  <si>
    <t>4|4.0</t>
  </si>
  <si>
    <t>4.2</t>
  </si>
  <si>
    <t>87905</t>
  </si>
  <si>
    <t>CHAPISCO APLICADO EM ALVENARIA (COM PRESENÇA DE VÃOS) E ESTRUTURAS DE CONCRETO DE FACHADA, COM COLHER DE PEDREIRO. ARGAMASSA TRAÇO 1:3 COM PREPARO EM BETONEIRA 400L. AF_10/2022</t>
  </si>
  <si>
    <t>4.3</t>
  </si>
  <si>
    <t>87775</t>
  </si>
  <si>
    <t>EMBOÇO OU MASSA ÚNICA EM ARGAMASSA TRAÇO 1:2:8, PREPARO MECÂNICO COM BETONEIRA 400 L, APLICADA MANUALMENTE EM PANOS DE FACHADA COM PRESENÇA DE VÃOS, ESPESSURA DE 25 MM. AF_08/2022</t>
  </si>
  <si>
    <t>Subtotal — Alvenaria e Vedações</t>
  </si>
  <si>
    <t>5  Instalações</t>
  </si>
  <si>
    <t>5.1</t>
  </si>
  <si>
    <t>Instalações elétricas — ponto completo (tubulação+fiação+dispositivo)</t>
  </si>
  <si>
    <t>5|5.0</t>
  </si>
  <si>
    <t>5.2</t>
  </si>
  <si>
    <t>Instalações hidrossanitárias — ponto de água/esgoto completo</t>
  </si>
  <si>
    <t>Subtotal — Instalações</t>
  </si>
  <si>
    <t>6  Acabamentos</t>
  </si>
  <si>
    <t>6.1</t>
  </si>
  <si>
    <t>87263</t>
  </si>
  <si>
    <t>REVESTIMENTO CERÂMICO PARA PISO COM PLACAS TIPO PORCELANATO DE DIMENSÕES 60X60 CM APLICADA EM AMBIENTES DE ÁREA MAIOR QUE 10 M². AF_02/2023_PE</t>
  </si>
  <si>
    <t>6|6.0</t>
  </si>
  <si>
    <t>6.2</t>
  </si>
  <si>
    <t>88489</t>
  </si>
  <si>
    <t>PINTURA LÁTEX ACRÍLICA PREMIUM, APLICAÇÃO MANUAL EM PAREDES, DUAS DEMÃOS. AF_04/2023</t>
  </si>
  <si>
    <t>Subtotal — Acabamentos</t>
  </si>
  <si>
    <t>CUSTO DIRETO (sem BDI)</t>
  </si>
  <si>
    <t>BDI (27,03%) — já embutido nos preços unitários</t>
  </si>
  <si>
    <t>PREÇO DE VENDA (com BDI)</t>
  </si>
  <si>
    <t>PARÂMETROS — MATRIZ DE DESEMBOLSO (22 meses) — ORC-2026-4384</t>
  </si>
  <si>
    <t>Edite os % (células amarelas): o Cronograma e a Curva S recalculam sozinhos. Cada linha deve somar 100% — a coluna Check avisa.</t>
  </si>
  <si>
    <t>set/26</t>
  </si>
  <si>
    <t>out/26</t>
  </si>
  <si>
    <t>nov/26</t>
  </si>
  <si>
    <t>dez/26</t>
  </si>
  <si>
    <t>jan/27</t>
  </si>
  <si>
    <t>fev/27</t>
  </si>
  <si>
    <t>mar/27</t>
  </si>
  <si>
    <t>abr/27</t>
  </si>
  <si>
    <t>mai/27</t>
  </si>
  <si>
    <t>jun/27</t>
  </si>
  <si>
    <t>jul/27</t>
  </si>
  <si>
    <t>ago/27</t>
  </si>
  <si>
    <t>set/27</t>
  </si>
  <si>
    <t>out/27</t>
  </si>
  <si>
    <t>nov/27</t>
  </si>
  <si>
    <t>dez/27</t>
  </si>
  <si>
    <t>jan/28</t>
  </si>
  <si>
    <t>fev/28</t>
  </si>
  <si>
    <t>mar/28</t>
  </si>
  <si>
    <t>abr/28</t>
  </si>
  <si>
    <t>mai/28</t>
  </si>
  <si>
    <t>jun/28+</t>
  </si>
  <si>
    <t>Soma</t>
  </si>
  <si>
    <t>Check</t>
  </si>
  <si>
    <t>1.0 Serviços Preliminares</t>
  </si>
  <si>
    <t>2.0 Fundações</t>
  </si>
  <si>
    <t>3.0 Estrutura</t>
  </si>
  <si>
    <t>4.0 Alvenaria e Vedações</t>
  </si>
  <si>
    <t>5.0 Instalações</t>
  </si>
  <si>
    <t>6.0 Acabamentos</t>
  </si>
  <si>
    <t>DETALHAMENTO DE COMPOSIÇÕES (INSUMOS) — ORC-2026-4384</t>
  </si>
  <si>
    <t>Cada composição (SINAPI e próprias) explodida nos seus insumos (referência analítica 06/2026/MG). MO = mão de obra · MAT = material · EQ = equipamento.</t>
  </si>
  <si>
    <t>Composição</t>
  </si>
  <si>
    <t>Cód. Item</t>
  </si>
  <si>
    <t>Tipo</t>
  </si>
  <si>
    <t>Insumo</t>
  </si>
  <si>
    <t>Coef.</t>
  </si>
  <si>
    <t>Categoria</t>
  </si>
  <si>
    <t>99059  LOCAÇÃO CONVENCIONAL DE OBRA, UTILIZANDO GABARITO DE TÁBUAS CORRIDAS PONTALETADAS A CADA 2,00M - 2 UTILIZAÇÕES. AF_03/2024</t>
  </si>
  <si>
    <t>94974</t>
  </si>
  <si>
    <t>Sub-comp.</t>
  </si>
  <si>
    <t>CONCRETO MAGRO PARA LASTRO, TRAÇO 1:4,5:4,5 (EM MASSA SECA DE CIMENTO/ AREIA MÉDIA/ BRITA 1) - PREPARO MANUAL. AF_05/2021</t>
  </si>
  <si>
    <t>Material</t>
  </si>
  <si>
    <t>91693</t>
  </si>
  <si>
    <t>SERRA CIRCULAR DE BANCADA COM MOTOR ELÉTRICO POTÊNCIA DE 5HP, COM COIFA PARA DISCO 10" - CHI DIURNO. AF_08/2015</t>
  </si>
  <si>
    <t>CHI</t>
  </si>
  <si>
    <t>Mão de obra</t>
  </si>
  <si>
    <t>91692</t>
  </si>
  <si>
    <t>SERRA CIRCULAR DE BANCADA COM MOTOR ELÉTRICO POTÊNCIA DE 5HP, COM COIFA PARA DISCO 10" - CHP DIURNO. AF_08/2015</t>
  </si>
  <si>
    <t>CHP</t>
  </si>
  <si>
    <t>88262</t>
  </si>
  <si>
    <t>CARPINTEIRO DE FORMAS COM ENCARGOS COMPLEMENTARES</t>
  </si>
  <si>
    <t>h</t>
  </si>
  <si>
    <t>88239</t>
  </si>
  <si>
    <t>AJUDANTE DE CARPINTEIRO COM ENCARGOS COMPLEMENTARES</t>
  </si>
  <si>
    <t>10567</t>
  </si>
  <si>
    <t>TABUA *2,5 X 23* CM EM PINUS, MISTA OU EQUIVALENTE DA REGIAO - BRUTA</t>
  </si>
  <si>
    <t>7356</t>
  </si>
  <si>
    <t>TINTA LATEX ACRILICA PREMIUM, COR BRANCO FOSCO</t>
  </si>
  <si>
    <t>L</t>
  </si>
  <si>
    <t>5068</t>
  </si>
  <si>
    <t>PREGO DE ACO POLIDO COM CABECA 17 X 21 (2 X 11)</t>
  </si>
  <si>
    <t>4433</t>
  </si>
  <si>
    <t>CAIBRO NAO APARELHADO *6 X 6* CM, EM MACARANDUBA/MASSARANDUBA, ANGELIM OU EQUIVALENTE DA REGIAO - BRUTA</t>
  </si>
  <si>
    <t>4417</t>
  </si>
  <si>
    <t>SARRAFO NAO APARELHADO *2,5 X 7* CM, EM MACARANDUBA/MASSARANDUBA, ANGELIM, PEROBA-ROSA OU EQUIVALENTE DA REGIAO - BRUTA</t>
  </si>
  <si>
    <t>Σ  MO 45,56  |  MAT 33,02  |  EQ 0,00</t>
  </si>
  <si>
    <t>96523  ESCAVAÇÃO MANUAL PARA BLOCO DE COROAMENTO OU SAPATA (INCLUINDO ESCAVAÇÃO PARA COLOCAÇÃO DE FÔRMAS). AF_01/2024</t>
  </si>
  <si>
    <t>88316</t>
  </si>
  <si>
    <t>SERVENTE COM ENCARGOS COMPLEMENTARES</t>
  </si>
  <si>
    <t>88309</t>
  </si>
  <si>
    <t>PEDREIRO COM ENCARGOS COMPLEMENTARES</t>
  </si>
  <si>
    <t>Σ  MO 110,25  |  MAT 0,00  |  EQ 0,00</t>
  </si>
  <si>
    <t>94965  CONCRETO FCK = 25MPA, TRAÇO 1:2,3:2,7 (EM MASSA SECA DE CIMENTO/ AREIA MÉDIA/ BRITA 1) - PREPARO MECÂNICO COM BETONEIRA 400 L. AF_05/2021</t>
  </si>
  <si>
    <t>88831</t>
  </si>
  <si>
    <t>BETONEIRA CAPACIDADE NOMINAL DE 400 L, CAPACIDADE DE MISTURA 280 L, MOTOR ELÉTRICO TRIFÁSICO POTÊNCIA DE 2 CV, SEM CARREGADOR - CHI DIURNO. AF_05/2023</t>
  </si>
  <si>
    <t>Equipamento</t>
  </si>
  <si>
    <t>88830</t>
  </si>
  <si>
    <t>BETONEIRA CAPACIDADE NOMINAL DE 400 L, CAPACIDADE DE MISTURA 280 L, MOTOR ELÉTRICO TRIFÁSICO POTÊNCIA DE 2 CV, SEM CARREGADOR - CHP DIURNO. AF_05/2023</t>
  </si>
  <si>
    <t>88377</t>
  </si>
  <si>
    <t>OPERADOR DE BETONEIRA ESTACIONÁRIA/MISTURADOR COM ENCARGOS COMPLEMENTARES</t>
  </si>
  <si>
    <t>4721</t>
  </si>
  <si>
    <t>PEDRA BRITADA N. 1 (9,5 A 19 MM) POSTO PEDREIRA/FORNECEDOR, SEM FRETE</t>
  </si>
  <si>
    <t>1379</t>
  </si>
  <si>
    <t>CIMENTO PORTLAND COMPOSTO CP II-32</t>
  </si>
  <si>
    <t>370</t>
  </si>
  <si>
    <t>AREIA MEDIA - POSTO JAZIDA/FORNECEDOR (RETIRADO NA JAZIDA, SEM TRANSPORTE)</t>
  </si>
  <si>
    <t>Σ  MO 104,59  |  MAT 481,81  |  EQ 1,06</t>
  </si>
  <si>
    <t>92917  ARMAÇÃO DE ESTRUTURAS DIVERSAS DE CONCRETO ARMADO, EXCETO VIGAS, PILARES, LAJES E FUNDAÇÕES, UTILIZANDO AÇO CA-50 DE 8,0 MM - MONTAGEM. AF_06/2022</t>
  </si>
  <si>
    <t>92802</t>
  </si>
  <si>
    <t>CORTE E DOBRA DE AÇO CA-50, DIÂMETRO DE 8,0 MM. AF_06/2022</t>
  </si>
  <si>
    <t>88245</t>
  </si>
  <si>
    <t>ARMADOR COM ENCARGOS COMPLEMENTARES</t>
  </si>
  <si>
    <t>88238</t>
  </si>
  <si>
    <t>AJUDANTE DE ARMADOR COM ENCARGOS COMPLEMENTARES</t>
  </si>
  <si>
    <t>43132</t>
  </si>
  <si>
    <t>ARAME RECOZIDO 16 BWG, D = 1,65 MM (0,016 KG/M) OU 18 BWG, D = 1,25 MM (0,01 KG/M)</t>
  </si>
  <si>
    <t>39017</t>
  </si>
  <si>
    <t>ESPACADOR / DISTANCIADOR CIRCULAR COM ENTRADA LATERAL, EM PLASTICO, PARA VERGALHAO *4,2 A 12,5* MM, COBRIMENTO 20 MM</t>
  </si>
  <si>
    <t>Σ  MO 4,45  |  MAT 8,70  |  EQ 0,00</t>
  </si>
  <si>
    <t>103355  ALVENARIA DE VEDAÇÃO DE BLOCOS CERÂMICOS FURADOS NA HORIZONTAL DE 11,5X14X24 CM (ESPESSURA 11,5 CM) E ARGAMASSA DE ASSENTAMENTO COM PREPARO MANUAL. AF_12/2021</t>
  </si>
  <si>
    <t>87369</t>
  </si>
  <si>
    <t>ARGAMASSA TRAÇO 1:2:8 (EM VOLUME DE CIMENTO, CAL E AREIA MÉDIA ÚMIDA) PARA EMBOÇO/MASSA ÚNICA/ASSENTAMENTO DE ALVENARIA DE VEDAÇÃO, PREPARO MANUAL. AF_08/2019</t>
  </si>
  <si>
    <t>44459</t>
  </si>
  <si>
    <t>BLOCO CERAMICO / TIJOLO VAZADO PARA ALVENARIA DE VEDACAO, 9 FUROS NA HORIZONTAL DE 11,5 X 14 X 24 CM (L X A X C)</t>
  </si>
  <si>
    <t>37395</t>
  </si>
  <si>
    <t>PINO DE ACO COM FURO, HASTE = 27 MM (ACAO DIRETA)</t>
  </si>
  <si>
    <t>cento</t>
  </si>
  <si>
    <t>34558</t>
  </si>
  <si>
    <t>TELA DE ACO SOLDADA GALVANIZADA/ZINCADA PARA ALVENARIA, FIO D = *1,20 A 1,70* MM, MALHA 15 X 15 MM, (C X L) *50 X 10,5* CM</t>
  </si>
  <si>
    <t>Σ  MO 66,43  |  MAT 39,69  |  EQ 0,00</t>
  </si>
  <si>
    <t>87905  CHAPISCO APLICADO EM ALVENARIA (COM PRESENÇA DE VÃOS) E ESTRUTURAS DE CONCRETO DE FACHADA, COM COLHER DE PEDREIRO. ARGAMASSA TRAÇO 1:3 COM PREPARO EM BETONEIRA 400L. AF_10/2022</t>
  </si>
  <si>
    <t>87313</t>
  </si>
  <si>
    <t>ARGAMASSA TRAÇO 1:3 (EM VOLUME DE CIMENTO E AREIA GROSSA ÚMIDA) PARA CHAPISCO CONVENCIONAL, PREPARO MECÂNICO COM BETONEIRA 400 L. AF_08/2019</t>
  </si>
  <si>
    <t>Σ  MO 7,74  |  MAT 1,84  |  EQ 0,01</t>
  </si>
  <si>
    <t>87775  EMBOÇO OU MASSA ÚNICA EM ARGAMASSA TRAÇO 1:2:8, PREPARO MECÂNICO COM BETONEIRA 400 L, APLICADA MANUALMENTE EM PANOS DE FACHADA COM PRESENÇA DE VÃOS, ESPESSURA DE 25 MM. AF_08/2022</t>
  </si>
  <si>
    <t>87292</t>
  </si>
  <si>
    <t>ARGAMASSA TRAÇO 1:2:8 (EM VOLUME DE CIMENTO, CAL E AREIA MÉDIA ÚMIDA) PARA EMBOÇO/MASSA ÚNICA/ASSENTAMENTO DE ALVENARIA DE VEDAÇÃO, PREPARO MECÂNICO COM BETONEIRA 400 L. AF_08/2019</t>
  </si>
  <si>
    <t>37411</t>
  </si>
  <si>
    <t>TELA DE ACO SOLDADA GALVANIZADA/ZINCADA PARA ALVENARIA, FIO D = *1,24 MM, MALHA 25 X 25 MM</t>
  </si>
  <si>
    <t>Σ  MO 44,27  |  MAT 20,36  |  EQ 0,09</t>
  </si>
  <si>
    <t>87263  REVESTIMENTO CERÂMICO PARA PISO COM PLACAS TIPO PORCELANATO DE DIMENSÕES 60X60 CM APLICADA EM AMBIENTES DE ÁREA MAIOR QUE 10 M². AF_02/2023_PE</t>
  </si>
  <si>
    <t>88256</t>
  </si>
  <si>
    <t>AZULEJISTA OU LADRILHEIRO COM ENCARGOS COMPLEMENTARES</t>
  </si>
  <si>
    <t>45190</t>
  </si>
  <si>
    <t>PISO EM PORCELANATO, RETIFICADO, LISO, MONOCOLOR, ACETINADO OU POLIDO, FORMATO MAIOR QUE 2500 ATE 6400 CM2</t>
  </si>
  <si>
    <t>37595</t>
  </si>
  <si>
    <t>ARGAMASSA COLANTE TIPO AC III</t>
  </si>
  <si>
    <t>34357</t>
  </si>
  <si>
    <t>REJUNTE CIMENTICIO, QUALQUER COR</t>
  </si>
  <si>
    <t>Σ  MO 22,71  |  MAT 93,30  |  EQ 0,00</t>
  </si>
  <si>
    <t>88489  PINTURA LÁTEX ACRÍLICA PREMIUM, APLICAÇÃO MANUAL EM PAREDES, DUAS DEMÃOS. AF_04/2023</t>
  </si>
  <si>
    <t>88310</t>
  </si>
  <si>
    <t>PINTOR COM ENCARGOS COMPLEMENTARES</t>
  </si>
  <si>
    <t>Σ  MO 7,12  |  MAT 7,80  |  EQ 0,00</t>
  </si>
  <si>
    <t>CURVA ABC — ORC-2026-4384</t>
  </si>
  <si>
    <t>Classe</t>
  </si>
  <si>
    <t>Itens</t>
  </si>
  <si>
    <t>Valor</t>
  </si>
  <si>
    <t>% do total</t>
  </si>
  <si>
    <t>Classe A</t>
  </si>
  <si>
    <t>Classe B</t>
  </si>
  <si>
    <t>Classe C</t>
  </si>
  <si>
    <t>%</t>
  </si>
  <si>
    <t>% Acum.</t>
  </si>
  <si>
    <t>Ordem das linhas = emissão. Valores, %, classes e o resumo acima recalculam ao editar Qtd/Custo na Analítica. Use o filtro do cabeçalho para ver só uma classe.</t>
  </si>
  <si>
    <t>CRONOGRAMA FÍSICO-FINANCEIRO (22 meses, com BDI) — ORC-2026-4384</t>
  </si>
  <si>
    <t>Total</t>
  </si>
  <si>
    <t>TOTAL / MÊS</t>
  </si>
  <si>
    <t>% acumulado</t>
  </si>
  <si>
    <t>CRONOGRAMA FÍSICO / GANTT (CPM) — ORC-2026-4384 · Residência Alto da Boa Vista — 180 m²</t>
  </si>
  <si>
    <t>Cronograma VIVO: edite Dias (coluna C, amarela), a data de início (B4), os dias úteis por semana (D4) e o paralelismo (F4) — início, fim, folga, datas, caminho crítico e barras recalculam. "Depende de" (#nº da etapa, +/−dias de defasagem) é a rede de precedência definida no app (informativa aqui). Emissão: 470 dias úteis (~94 semanas), 08/09/2026 → 25/07/2028.</t>
  </si>
  <si>
    <t>Início da obra</t>
  </si>
  <si>
    <t>Dias úteis por semana</t>
  </si>
  <si>
    <t>Paralelismo</t>
  </si>
  <si>
    <t>Amarelo = editável. 5 = seg–sex · 6 = seg–sáb · 7 = corrido.</t>
  </si>
  <si>
    <t>Prazo total (dias úteis)</t>
  </si>
  <si>
    <t>Semanas</t>
  </si>
  <si>
    <t>Fim previsto</t>
  </si>
  <si>
    <t>Etapas críticas</t>
  </si>
  <si>
    <t>Dias</t>
  </si>
  <si>
    <t>Depende de</t>
  </si>
  <si>
    <t>Início (d)</t>
  </si>
  <si>
    <t>Fim (d)</t>
  </si>
  <si>
    <t>Folga (d)</t>
  </si>
  <si>
    <t>Data início</t>
  </si>
  <si>
    <t>Data fim</t>
  </si>
  <si>
    <t>Crítico</t>
  </si>
  <si>
    <t>Preliminares/Canteiro</t>
  </si>
  <si>
    <t/>
  </si>
  <si>
    <t>Estrutura/Concreto</t>
  </si>
  <si>
    <t>#1</t>
  </si>
  <si>
    <t>#2</t>
  </si>
  <si>
    <t>Revestimentos</t>
  </si>
  <si>
    <t>#3</t>
  </si>
  <si>
    <t>#4</t>
  </si>
  <si>
    <t>#5</t>
  </si>
  <si>
    <t>LEGENDA</t>
  </si>
  <si>
    <t>Caminho crítico (folga zero)</t>
  </si>
  <si>
    <t>◆ Marco = etapa de duração zero (entrega, vistoria, liberação): ocupa uma célula na semana em que cai.</t>
  </si>
  <si>
    <t>Início/Fim/Folga em dias úteis contados a partir de B4 (dia 0). Folga = quanto a etapa pode atrasar sem mudar o fim da obra. As barras têm 98 semanas de largura (94 da emissão + 4 de reserva); se o prazo passar disso, aumente a área ou reexporte do app. A curva S da aba Gráficos e a matriz de desembolso (Parâmetros/Cronograma) são da emissão e não seguem esta aba.</t>
  </si>
  <si>
    <t>FERIADOS DESCONTADOS DO PRAZO — acrescente aqui os feriados da sua cidade (o Gantt recalcula sozinho)</t>
  </si>
  <si>
    <t>Data</t>
  </si>
  <si>
    <t>Feriado</t>
  </si>
  <si>
    <t>Confraternização Universal</t>
  </si>
  <si>
    <t>nacional</t>
  </si>
  <si>
    <t>Carnaval (segunda)</t>
  </si>
  <si>
    <t>ponto facultativo</t>
  </si>
  <si>
    <t>Carnaval (terça)</t>
  </si>
  <si>
    <t>Sexta-feira Santa</t>
  </si>
  <si>
    <t>Tiradentes</t>
  </si>
  <si>
    <t>Dia do Trabalho</t>
  </si>
  <si>
    <t>Corpus Christi</t>
  </si>
  <si>
    <t>Independência do Brasil</t>
  </si>
  <si>
    <t>Nossa Senhora Aparecida</t>
  </si>
  <si>
    <t>Finados</t>
  </si>
  <si>
    <t>Proclamação da República</t>
  </si>
  <si>
    <t>Consciência Negra</t>
  </si>
  <si>
    <t>Natal</t>
  </si>
  <si>
    <t>Carnaval e Corpus Christi são ponto facultativo, não feriado nacional — entram porque a obra para. Apague a linha se a sua equipe trabalha nesses dias.</t>
  </si>
  <si>
    <t>GRÁFICOS DO ORÇAMENTO — ORC-2026-4384 · Residência Alto da Boa Vista — 180 m²</t>
  </si>
  <si>
    <t>Curva ABC (Pareto)</t>
  </si>
  <si>
    <t>Curva S — avanço físico-financeiro</t>
  </si>
  <si>
    <t>Composição de custo (MO / MAT / EQ)</t>
  </si>
  <si>
    <t>BASE DE DADOS DO ORÇAMENTO (para análise e IA/Copilot) — espelho vivo da aba Analítica</t>
  </si>
  <si>
    <t>Codigo</t>
  </si>
  <si>
    <t>Descricao</t>
  </si>
  <si>
    <t>CustoUnit</t>
  </si>
  <si>
    <t>CustoTotal</t>
  </si>
  <si>
    <t>PrecoUnitBDI</t>
  </si>
  <si>
    <t>PrecoTotalBDI</t>
  </si>
  <si>
    <t>CONSTRUTORA MODELO LTDA — COMO USAR ESTA PLANILHA</t>
  </si>
  <si>
    <t>ORC-2026-4384 · Residência Alto da Boa Vista — 180 m²   |   SINAPI 2026-06/MG · Composição própria   |   Não desonerado</t>
  </si>
  <si>
    <t>✏️  O QUE VOCÊ PODE EDITAR (células AMARELAS):</t>
  </si>
  <si>
    <t xml:space="preserve">     • Resumo!B6 — o BDI aplicado (%). Tudo recalcula: preços unitários, totais, curva ABC, cronograma.</t>
  </si>
  <si>
    <t xml:space="preserve">     • Analítica, colunas Qtd e Custo Unit — simule quantidades e preços negociados.</t>
  </si>
  <si>
    <t xml:space="preserve">     • Resumo, parcelas do quadro BDI — a linha "BDI pela fórmula TCU" confere na hora.</t>
  </si>
  <si>
    <t xml:space="preserve">     • Parâmetros — matriz de desembolso (% de cada etapa por mês): o Cronograma e a Curva S seguem.</t>
  </si>
  <si>
    <t xml:space="preserve">     • Gantt — Dias de cada etapa (coluna C), data de início (B4), dias úteis/semana (D4) e paralelismo (F4):</t>
  </si>
  <si>
    <t xml:space="preserve">       início, fim, folga, datas, caminho crítico e as barras recalculam (CPM por fórmula). "Depende de" é informativo.</t>
  </si>
  <si>
    <t xml:space="preserve">     • Feriados — a lista que as datas do Gantt consultam. Acrescente o feriado da sua cidade e o cronograma inteiro anda.</t>
  </si>
  <si>
    <t>🔒  PROTEÇÃO: as demais células têm fórmula e estão travadas só contra edição acidental.</t>
  </si>
  <si>
    <t xml:space="preserve">     Senha para desproteger (Revisão → Desproteger Planilha): raeng</t>
  </si>
  <si>
    <t xml:space="preserve">     Filtrar e ordenar continuam liberados (cabeçalhos da Curva ABC, Insumos e Dados IA).</t>
  </si>
  <si>
    <t>✅  VERIFICAÇÕES AUTOMÁTICAS: o fim da aba Resumo confere se os totais seguem consistentes</t>
  </si>
  <si>
    <t xml:space="preserve">     após suas edições ("OK" verde · "⚠ verificar" vermelho).</t>
  </si>
  <si>
    <t>📷  A aba Gráficos contém IMAGENS da emissão (não recalculam). Os dados vivos estão nas abas —</t>
  </si>
  <si>
    <t xml:space="preserve">     as barras do Gantt e do Peso % (Sintética, Curva ABC) são formatação condicional e seguem os números.</t>
  </si>
  <si>
    <t>🤖  DICA (Excel 365/Copilot): a aba "Dados IA" tem a tabela tblItens pronta para análise.</t>
  </si>
  <si>
    <t xml:space="preserve">     Experimente perguntar: "quais os 5 itens de maior impacto no custo?" ou</t>
  </si>
  <si>
    <t xml:space="preserve">     "faça um gráfico de custo por etapa usando tblItens".</t>
  </si>
  <si>
    <t>📞  Construtora Modelo Ltda — CNPJ 00.000.000/0001-00 · Uberlândia / MG</t>
  </si>
  <si>
    <t xml:space="preserve">     Engenheiro Civil Eng. João da Silva · CREA-MG 000000 · contato@construtoramodelo.com.br</t>
  </si>
  <si>
    <t xml:space="preserve">     Gerado pelo OrçaPRO IA — orçamento de obras com bases oficiais e IA.</t>
  </si>
  <si>
    <t>{"v":1,"tipo":"orcapro-meta","partes":1,"schemaVersao":3,"id":"demo-ot-orc","numero":"ORC-2026-4384","geradoEm":"2026-09-08T20:28:44.743Z","propriasPartes":0,"propriasQtd":0}</t>
  </si>
  <si>
    <t>{"id":"demo-ot-orc","schemaVersao":3,"numero":"ORC-2026-4384","nome":"Residência Alto da Boa Vista — 180 m²","cliente":{"nome":"Construtora Horizonte Ltda","doc":"12.345.678/0001-90","contato":"contato@horizonteconstrutora.com.br"},"obra":{"nome":"Residência Alto da Boa Vista","local":"Rua dos Ipês, 250 — Jardim Karaíba, Uberlândia/MG","regime":"Empreitada"},"competenciaSinapi":"2026-06","uf":"MG","desonerado":false,"bdi":{"modeloId":"padrao","params":{"AC":4,"S":0.8,"R":0.97,"G":0.4,"DF":1.2,"L":8,"I":8.65},"percentual":27.03},"config":{"categoria":"","prazoEntrega":"","arredondamento":"truncar2","bdiIncidencia":"unitario","encargos":{"tipo":"nao_desonerado","horista":0,"mensalista":0},"permitirZerado":false,"licitacao":{"ativo":false,"tipo":"","abertura":"","processo":""}},"comercial":{"apresentacao":"","condicoesPagamento":"Pagamento por medição mensal dos serviços executados, com vencimento em 5 dias úteis após a aprovação da medição.","prazoExecucao":"A combinar conforme cronograma físico-financeiro.","validadeProposta":"15 dias corridos a contar da data de emissão.","validadeDias":15,"garantia":"Garantia legal de 5 (cinco) anos para a solidez e segurança da obra, nos termos do art. 618 do Código Civil.","incluso":"Fornecimento de materiais e mão de obra dos serviços orçados;\nLeis sociais e encargos trabalhistas;\nFerramentas e equipamentos de execução;\nLimpeza periódica e final da obra.","excluso":"Projetos complementares e taxas de aprovação;\nLigações definitivas de água, energia e esgoto;\nMobiliário, paisagismo e itens de decoração;\nServiços não descritos expressamente nesta proposta.","linkPlanilha":""},"cronogramaMeses":22,"etapas":[{"id":"eta_mtt4gwo3fyddkr","codigo":"1.0","nome":"Serviços Preliminares","itens":[{"id":"itm_mtt4gwo4c18rjs","origem":"SINAPI","baseFonte":"SINAPI","codigo":"99059","descricao":"LOCAÇÃO CONVENCIONAL DE OBRA, UTILIZANDO GABARITO DE TÁBUAS CORRIDAS PONTALETADAS A CADA 2,00M - 2 UTILIZAÇÕES. AF_03/2024","unidade":"M","quantidade":180,"custoUnitario":78.54,"custoMO":0,"custoMAT":0,"custoEQ":0},{"id":"itm_mtt4gwo4u8flu5","origem":"PROPRIO","baseFonte":null,"codigo":"—","descricao":"Instalação provisória de canteiro (água/energia/tapume)","unidade":"un","quantidade":1,"custoUnitario":3500,"custoMO":1200,"custoMAT":2300,"custoEQ":0}]},{"id":"eta_mtt4gwo4hzmau9","codigo":"2.0","nome":"Fundações","itens":[{"id":"itm_mtt4gwo4fxzls9","origem":"SINAPI","baseFonte":"SINAPI","codigo":"96523","descricao":"ESCAVAÇÃO MANUAL PARA BLOCO DE COROAMENTO OU SAPATA (INCLUINDO ESCAVAÇÃO PARA COLOCAÇÃO DE FÔRMAS). AF_01/2024","unidade":"M3","quantidade":42,"custoUnitario":110.24,"custoMO":0,"custoMAT":0,"custoEQ":0},{"id":"itm_mtt4gwo4u4yuxy","origem":"PROPRIO","baseFonte":null,"codigo":"—","descricao":"Concreto magro para lastro (preparo em obra)","unidade":"m3","quantidade":6,"custoUnitario":495,"custoMO":92,"custoMAT":388,"custoEQ":15},{"id":"itm_mtt4gwo4czvyjf","origem":"SINAPI","baseFonte":"SINAPI","codigo":"94965","descricao":"CONCRETO FCK = 25MPA, TRAÇO 1:2,3:2,7 (EM MASSA SECA DE CIMENTO/ AREIA MÉDIA/ BRITA 1) - PREPARO MECÂNICO COM BETONEIRA 400 L. AF_05/2021","unidade":"M3","quantidade":28,"custoUnitario":587.43,"custoMO":0,"custoMAT":0,"custoEQ":0}]},{"id":"eta_mtt4gwo4o7hncu","codigo":"3.0","nome":"Estrutura","itens":[{"id":"itm_mtt4gwo4byuuv3","origem":"PROPRIO","baseFonte":null,"codigo":"—","descricao":"Concretagem de pilares e vigas FCK 30 (com bomba)","unidade":"m3","quantidade":34,"custoUnitario":660,"custoMO":132,"custoMAT":498,"custoEQ":30},{"id":"itm_mtt4gwo41b8emu","origem":"SINAPI","baseFonte":"SINAPI","codigo":"92917","descricao":"ARMAÇÃO DE ESTRUTURAS DIVERSAS DE CONCRETO ARMADO, EXCETO VIGAS, PILARES, LAJES E FUNDAÇÕES, UTILIZANDO AÇO CA-50 DE 8,0 MM - MONTAGEM. AF_06/2022","unidade":"KG","quantidade":2800,"custoUnitario":13.13,"custoMO":0,"custoMAT":0,"custoEQ":0},{"id":"itm_mtt4gwo4k89krs","origem":"PROPRIO","baseFonte":null,"codigo":"—","descricao":"Forma de madeira para estrutura (3 reaproveitamentos)","unidade":"m2","quantidade":310,"custoUnitario":62,"custoMO":28,"custoMAT":34,"custoEQ":0}]},{"id":"eta_mtt4gwo4hhqaa5","codigo":"4.0","nome":"Alvenaria e Vedações","itens":[{"id":"itm_mtt4gwo4o1t0r1","origem":"SINAPI","baseFonte":"SINAPI","codigo":"103355","descricao":"ALVENARIA DE VEDAÇÃO DE BLOCOS CERÂMICOS FURADOS NA HORIZONTAL DE 11,5X14X24 CM (ESPESSURA 11,5 CM) E ARGAMASSA DE ASSENTAMENTO COM PREPARO MANUAL. AF_12/2021","unidade":"M2","quantidade":420,"custoUnitario":106.08,"custoMO":0,"custoMAT":0,"custoEQ":0},{"id":"itm_mtt4gwo44kr8qx","origem":"SINAPI","baseFonte":"SINAPI","codigo":"87905","descricao":"CHAPISCO APLICADO EM ALVENARIA (COM PRESENÇA DE VÃOS) E ESTRUTURAS DE CONCRETO DE FACHADA, COM COLHER DE PEDREIRO. ARGAMASSA TRAÇO 1:3 COM PREPARO EM BETONEIRA 400L. AF_10/2022","unidade":"M2","quantidade":780,"custoUnitario":9.57,"custoMO":0,"custoMAT":0,"custoEQ":0},{"id":"itm_mtt4gwo4bi4k7v","origem":"SINAPI","baseFonte":"SINAPI","codigo":"87775","descricao":"EMBOÇO OU MASSA ÚNICA EM ARGAMASSA TRAÇO 1:2:8, PREPARO MECÂNICO COM BETONEIRA 400 L, APLICADA MANUALMENTE EM PANOS DE FACHADA COM PRESENÇA DE VÃOS, ESPESSURA DE 25 MM. AF_08/2022","unidade":"M2","quantidade":780,"custoUnitario":64.69,"custoMO":0,"custoMAT":0,"custoEQ":0}]},{"id":"eta_mtt4gwo4pz5xkr","codigo":"5.0","nome":"Instalações","itens":[{"id":"itm_mtt4gwo4iesjzu","origem":"PROPRIO","baseFonte":null,"codigo":"—","descricao":"Instalações elétricas — ponto completo (tubulação+fiação+dispositivo)","unidade":"un","quantidade":96,"custoUnitario":142,"custoMO":68,"custoMAT":74,"custoEQ":0},{"id":"itm_mtt4gwo4noezj3","origem":"PROPRIO","baseFonte":null,"codigo":"—","descricao":"Instalações hidrossanitárias — ponto de água/esgoto completo","unidade":"un","quantidade":54,"custoUnitario":178,"custoMO":82,"custoMAT":96,"custoEQ":0}]},{"id":"eta_mtt4gwo4z3alrh","codigo":"6.0","nome":"Acabamentos","itens":[{"id":"itm_mtt4gwo4o5j204","origem":"SINAPI","baseFonte":"SINAPI","codigo":"87263","descricao":"REVESTIMENTO CERÂMICO PARA PISO COM PLACAS TIPO PORCELANATO DE DIMENSÕES 60X60 CM APLICADA EM AMBIENTES DE ÁREA MAIOR QUE 10 M². AF_02/2023_PE","unidade":"M2","quantidade":180,"custoUnitario":115.99,"custoMO":0,"custoMAT":0,"custoEQ":0},{"id":"itm_mtt4gwo4h35kp2","origem":"SINAPI","baseFonte":"SINAPI","codigo":"88489","descricao":"PINTURA LÁTEX ACRÍLICA PREMIUM, APLICAÇÃO MANUAL EM PAREDES, DUAS DEMÃOS. AF_04/2023","unidade":"M2","quantidade":920,"custoUnitario":14.91,"custoMO":0,"custoMAT":0,"custoEQ":0}]}],"criadoEm":"2026-09-08T20:28:44.259Z","atualizadoEm":"2026-09-08T20:28:44.743Z"}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</si>
</sst>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R$ #,##0.00"/>
    <numFmt numFmtId="165" formatCode="0.00&quot;%&quot;"/>
    <numFmt numFmtId="166" formatCode="0.0%"/>
    <numFmt numFmtId="167" formatCode="#,##0.0000"/>
    <numFmt numFmtId="168" formatCode="dd/mm/yyyy"/>
    <numFmt numFmtId="169" formatCode="dd/mm"/>
    <numFmt numFmtId="170" formatCode="&quot;S&quot;0"/>
  </numFmts>
  <fonts count="35" x14ac:knownFonts="1">
    <font>
      <color theme="1"/>
      <family val="2"/>
      <scheme val="minor"/>
      <sz val="11"/>
      <name val="Calibri"/>
    </font>
    <font>
      <b/>
      <color rgb="FF0F2740"/>
      <sz val="16"/>
    </font>
    <font>
      <b/>
      <color rgb="FF64748B"/>
      <sz val="11"/>
    </font>
    <font>
      <i/>
      <color rgb="FF94A3B8"/>
      <sz val="9"/>
    </font>
    <font>
      <b/>
      <color rgb="FF0F2740"/>
    </font>
    <font>
      <color rgb="FF1E293B"/>
      <sz val="11"/>
    </font>
    <font>
      <b/>
    </font>
    <font>
      <b/>
      <color rgb="FF1E293B"/>
      <sz val="11"/>
    </font>
    <font>
      <b/>
      <color rgb="FFFFFFFF"/>
    </font>
    <font>
      <b/>
      <color rgb="FFFFFFFF"/>
      <sz val="13"/>
    </font>
    <font>
      <i/>
      <color rgb="FF94A3B8"/>
      <sz val="8"/>
    </font>
    <font>
      <sz val="9"/>
    </font>
    <font>
      <b/>
      <color rgb="FF16A34A"/>
    </font>
    <font>
      <color rgb="FF64748B"/>
      <sz val="9"/>
    </font>
    <font>
      <b/>
      <color rgb="FF0F2740"/>
      <sz val="14"/>
    </font>
    <font>
      <b/>
      <sz val="11"/>
    </font>
    <font>
      <b/>
      <color rgb="FFFFFFFF"/>
      <sz val="10"/>
    </font>
    <font>
      <b/>
      <color rgb="FFFFFFFF"/>
      <sz val="12"/>
    </font>
    <font>
      <b/>
      <i/>
      <color rgb="FF64748B"/>
    </font>
    <font>
      <b/>
      <color rgb="FF64748B"/>
    </font>
    <font>
      <b/>
      <color rgb="FFF59E0B"/>
    </font>
    <font>
      <b/>
      <color rgb="FF94A3B8"/>
    </font>
    <font>
      <color rgb="FF64748B"/>
    </font>
    <font>
      <i/>
      <color rgb="FF64748B"/>
      <sz val="9"/>
    </font>
    <font>
      <b/>
      <color rgb="FF0F2740"/>
      <sz val="9"/>
    </font>
    <font>
      <color rgb="FF64748B"/>
      <sz val="7"/>
    </font>
    <font>
      <b/>
      <color rgb="FFFFFFFF"/>
      <sz val="7"/>
    </font>
    <font>
      <b/>
      <color rgb="FFDC2626"/>
    </font>
    <font>
      <b/>
      <color rgb="FFFFFFFF"/>
      <sz val="9"/>
    </font>
    <font>
      <b/>
      <color rgb="FF0F2740"/>
      <sz val="10"/>
    </font>
    <font>
      <i/>
      <color rgb="FF64748B"/>
      <sz val="8"/>
    </font>
    <font>
      <b/>
      <color rgb="FF0F2740"/>
      <sz val="12"/>
    </font>
    <font>
      <b/>
      <color rgb="FF0F2740"/>
      <sz val="11"/>
    </font>
    <font>
      <color rgb="FF1E293B"/>
      <sz val="10"/>
    </font>
    <font>
      <b/>
      <color rgb="FF1E293B"/>
      <sz val="10"/>
    </font>
  </fonts>
  <fills count="13">
    <fill>
      <patternFill patternType="none"/>
    </fill>
    <fill>
      <patternFill patternType="gray125"/>
    </fill>
    <fill>
      <patternFill patternType="solid">
        <fgColor rgb="FFFFF7CC"/>
      </patternFill>
    </fill>
    <fill>
      <patternFill patternType="solid">
        <fgColor rgb="FF0F2740"/>
      </patternFill>
    </fill>
    <fill>
      <patternFill patternType="solid">
        <fgColor rgb="FFFFF9E0"/>
      </patternFill>
    </fill>
    <fill>
      <patternFill patternType="solid">
        <fgColor rgb="FFEFF3F8"/>
      </patternFill>
    </fill>
    <fill>
      <patternFill patternType="solid">
        <fgColor rgb="FF2E6F9E"/>
      </patternFill>
    </fill>
    <fill>
      <patternFill patternType="solid">
        <fgColor rgb="FFE2E8F0"/>
      </patternFill>
    </fill>
    <fill>
      <patternFill patternType="solid">
        <fgColor rgb="FF64748B"/>
      </patternFill>
    </fill>
    <fill>
      <patternFill patternType="solid">
        <fgColor rgb="FF2563EB"/>
      </patternFill>
    </fill>
    <fill>
      <patternFill patternType="solid">
        <fgColor rgb="FF16A34A"/>
      </patternFill>
    </fill>
    <fill>
      <patternFill patternType="solid">
        <fgColor rgb="FFCA8A04"/>
      </patternFill>
    </fill>
    <fill>
      <patternFill patternType="solid">
        <fgColor rgb="FFDC2626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2" fontId="6" fillId="2" borderId="1" xfId="0" applyNumberFormat="1" applyFont="1" applyFill="1" applyBorder="1" applyAlignment="1" applyProtection="1">
      <alignment vertical="top"/>
      <protection locked="0"/>
    </xf>
    <xf numFmtId="164" fontId="7" fillId="0" borderId="1" xfId="0" applyNumberFormat="1" applyFont="1" applyBorder="1" applyAlignment="1">
      <alignment vertical="top"/>
    </xf>
    <xf numFmtId="0" fontId="8" fillId="3" borderId="1" xfId="0" applyFont="1" applyFill="1" applyBorder="1" applyAlignment="1">
      <alignment vertical="top"/>
    </xf>
    <xf numFmtId="164" fontId="9" fillId="3" borderId="1" xfId="0" applyNumberFormat="1" applyFont="1" applyFill="1" applyBorder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/>
    <xf numFmtId="164" fontId="5" fillId="0" borderId="1" xfId="0" applyNumberFormat="1" applyFont="1" applyBorder="1" applyAlignment="1">
      <alignment vertical="top"/>
    </xf>
    <xf numFmtId="0" fontId="10" fillId="0" borderId="0" xfId="0" applyFont="1" applyAlignment="1">
      <alignment vertical="top" wrapText="1"/>
    </xf>
    <xf numFmtId="10" fontId="5" fillId="4" borderId="1" xfId="0" applyNumberFormat="1" applyFont="1" applyFill="1" applyBorder="1" applyAlignment="1" applyProtection="1">
      <alignment vertical="top"/>
      <protection locked="0"/>
    </xf>
    <xf numFmtId="10" fontId="7" fillId="0" borderId="1" xfId="0" applyNumberFormat="1" applyFont="1" applyBorder="1" applyAlignment="1">
      <alignment vertical="top"/>
    </xf>
    <xf numFmtId="0" fontId="11" fillId="0" borderId="1" xfId="0" applyFont="1" applyBorder="1"/>
    <xf numFmtId="0" fontId="12" fillId="0" borderId="1" xfId="0" applyFont="1" applyBorder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0" fillId="0" borderId="0" xfId="0" applyFont="1"/>
    <xf numFmtId="0" fontId="16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0" fontId="0" fillId="5" borderId="1" xfId="0" applyFill="1" applyBorder="1"/>
    <xf numFmtId="164" fontId="0" fillId="5" borderId="1" xfId="0" applyNumberFormat="1" applyFill="1" applyBorder="1"/>
    <xf numFmtId="165" fontId="0" fillId="5" borderId="1" xfId="0" applyNumberFormat="1" applyFill="1" applyBorder="1"/>
    <xf numFmtId="166" fontId="0" fillId="5" borderId="1" xfId="0" applyNumberFormat="1" applyFill="1" applyBorder="1"/>
    <xf numFmtId="0" fontId="8" fillId="3" borderId="0" xfId="0" applyFont="1" applyFill="1"/>
    <xf numFmtId="164" fontId="8" fillId="3" borderId="0" xfId="0" applyNumberFormat="1" applyFont="1" applyFill="1"/>
    <xf numFmtId="0" fontId="8" fillId="6" borderId="1" xfId="0" applyFont="1" applyFill="1" applyBorder="1"/>
    <xf numFmtId="0" fontId="0" fillId="0" borderId="1" xfId="0" applyBorder="1" applyAlignment="1">
      <alignment horizontal="center"/>
    </xf>
    <xf numFmtId="4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0" fontId="0" fillId="5" borderId="1" xfId="0" applyFill="1" applyBorder="1" applyAlignment="1">
      <alignment horizontal="center"/>
    </xf>
    <xf numFmtId="0" fontId="6" fillId="0" borderId="0" xfId="0" applyFont="1"/>
    <xf numFmtId="164" fontId="6" fillId="7" borderId="0" xfId="0" applyNumberFormat="1" applyFont="1" applyFill="1"/>
    <xf numFmtId="164" fontId="6" fillId="0" borderId="0" xfId="0" applyNumberFormat="1" applyFont="1"/>
    <xf numFmtId="164" fontId="0" fillId="0" borderId="0" xfId="0" applyNumberFormat="1"/>
    <xf numFmtId="0" fontId="17" fillId="3" borderId="0" xfId="0" applyFont="1" applyFill="1"/>
    <xf numFmtId="164" fontId="17" fillId="3" borderId="0" xfId="0" applyNumberFormat="1" applyFont="1" applyFill="1"/>
    <xf numFmtId="166" fontId="0" fillId="4" borderId="1" xfId="0" applyNumberFormat="1" applyFill="1" applyBorder="1" applyProtection="1">
      <protection locked="0"/>
    </xf>
    <xf numFmtId="166" fontId="6" fillId="0" borderId="1" xfId="0" applyNumberFormat="1" applyFont="1" applyBorder="1"/>
    <xf numFmtId="167" fontId="0" fillId="0" borderId="1" xfId="0" applyNumberFormat="1" applyBorder="1"/>
    <xf numFmtId="167" fontId="0" fillId="5" borderId="1" xfId="0" applyNumberFormat="1" applyFill="1" applyBorder="1"/>
    <xf numFmtId="0" fontId="18" fillId="0" borderId="0" xfId="0" applyFont="1"/>
    <xf numFmtId="0" fontId="19" fillId="0" borderId="0" xfId="0" applyFont="1"/>
    <xf numFmtId="0" fontId="12" fillId="0" borderId="0" xfId="0" applyFont="1"/>
    <xf numFmtId="166" fontId="0" fillId="0" borderId="0" xfId="0" applyNumberFormat="1"/>
    <xf numFmtId="0" fontId="20" fillId="0" borderId="0" xfId="0" applyFont="1"/>
    <xf numFmtId="0" fontId="21" fillId="0" borderId="0" xfId="0" applyFont="1"/>
    <xf numFmtId="0" fontId="12" fillId="0" borderId="1" xfId="0" applyFont="1" applyBorder="1" applyAlignment="1">
      <alignment horizontal="center"/>
    </xf>
    <xf numFmtId="4" fontId="0" fillId="0" borderId="1" xfId="0" applyNumberFormat="1" applyBorder="1"/>
    <xf numFmtId="0" fontId="12" fillId="5" borderId="1" xfId="0" applyFont="1" applyFill="1" applyBorder="1" applyAlignment="1">
      <alignment horizontal="center"/>
    </xf>
    <xf numFmtId="4" fontId="0" fillId="5" borderId="1" xfId="0" applyNumberFormat="1" applyFill="1" applyBorder="1"/>
    <xf numFmtId="0" fontId="20" fillId="5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1" fillId="5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164" fontId="6" fillId="0" borderId="1" xfId="0" applyNumberFormat="1" applyFont="1" applyBorder="1"/>
    <xf numFmtId="164" fontId="6" fillId="5" borderId="1" xfId="0" applyNumberFormat="1" applyFont="1" applyFill="1" applyBorder="1"/>
    <xf numFmtId="166" fontId="22" fillId="0" borderId="0" xfId="0" applyNumberFormat="1" applyFont="1"/>
    <xf numFmtId="0" fontId="23" fillId="0" borderId="0" xfId="0" applyFont="1" applyAlignment="1">
      <alignment vertical="top" wrapText="1"/>
    </xf>
    <xf numFmtId="0" fontId="24" fillId="0" borderId="0" xfId="0" applyFont="1" applyAlignment="1">
      <alignment horizontal="right" vertical="center" wrapText="1"/>
    </xf>
    <xf numFmtId="168" fontId="6" fillId="2" borderId="1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9" fontId="6" fillId="2" borderId="1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vertical="center"/>
    </xf>
    <xf numFmtId="1" fontId="4" fillId="5" borderId="1" xfId="0" applyNumberFormat="1" applyFont="1" applyFill="1" applyBorder="1" applyAlignment="1">
      <alignment horizontal="center" vertical="center"/>
    </xf>
    <xf numFmtId="168" fontId="4" fillId="5" borderId="1" xfId="0" applyNumberFormat="1" applyFont="1" applyFill="1" applyBorder="1" applyAlignment="1">
      <alignment horizontal="center" vertical="center"/>
    </xf>
    <xf numFmtId="169" fontId="25" fillId="0" borderId="0" xfId="0" applyNumberFormat="1" applyFont="1" applyAlignment="1">
      <alignment horizontal="center" vertical="bottom" textRotation="90"/>
    </xf>
    <xf numFmtId="170" fontId="26" fillId="3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/>
      <protection locked="0"/>
    </xf>
    <xf numFmtId="0" fontId="13" fillId="0" borderId="1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8" fontId="0" fillId="0" borderId="1" xfId="0" applyNumberFormat="1" applyBorder="1"/>
    <xf numFmtId="1" fontId="27" fillId="0" borderId="1" xfId="0" applyNumberFormat="1" applyFont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168" fontId="0" fillId="5" borderId="1" xfId="0" applyNumberFormat="1" applyFill="1" applyBorder="1"/>
    <xf numFmtId="1" fontId="27" fillId="5" borderId="1" xfId="0" applyNumberFormat="1" applyFont="1" applyFill="1" applyBorder="1" applyAlignment="1">
      <alignment horizontal="center"/>
    </xf>
    <xf numFmtId="0" fontId="28" fillId="8" borderId="0" xfId="0" applyFont="1" applyFill="1" applyAlignment="1">
      <alignment indent="1"/>
    </xf>
    <xf numFmtId="0" fontId="28" fillId="9" borderId="0" xfId="0" applyFont="1" applyFill="1" applyAlignment="1">
      <alignment indent="1"/>
    </xf>
    <xf numFmtId="0" fontId="28" fillId="10" borderId="0" xfId="0" applyFont="1" applyFill="1" applyAlignment="1">
      <alignment indent="1"/>
    </xf>
    <xf numFmtId="0" fontId="28" fillId="11" borderId="0" xfId="0" applyFont="1" applyFill="1" applyAlignment="1">
      <alignment indent="1"/>
    </xf>
    <xf numFmtId="0" fontId="28" fillId="12" borderId="0" xfId="0" applyFont="1" applyFill="1" applyAlignment="1">
      <alignment indent="1"/>
    </xf>
    <xf numFmtId="0" fontId="29" fillId="0" borderId="0" xfId="0" applyFont="1"/>
    <xf numFmtId="168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168" fontId="0" fillId="2" borderId="1" xfId="0" applyNumberFormat="1" applyFill="1" applyBorder="1" applyProtection="1">
      <protection locked="0"/>
    </xf>
    <xf numFmtId="0" fontId="30" fillId="0" borderId="0" xfId="0" applyFont="1"/>
    <xf numFmtId="0" fontId="31" fillId="0" borderId="0" xfId="0" applyFont="1"/>
    <xf numFmtId="0" fontId="32" fillId="0" borderId="0" xfId="0" applyFont="1"/>
    <xf numFmtId="4" fontId="0" fillId="0" borderId="0" xfId="0" applyNumberFormat="1"/>
    <xf numFmtId="0" fontId="14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33" fillId="0" borderId="0" xfId="0" applyFont="1" applyAlignment="1">
      <alignment vertical="top"/>
    </xf>
    <xf numFmtId="0" fontId="34" fillId="0" borderId="0" xfId="0" applyFont="1" applyAlignment="1">
      <alignment vertical="top"/>
    </xf>
  </cellXfs>
  <cellStyles count="1">
    <cellStyle name="Normal" xfId="0" builtinId="0"/>
  </cellStyles>
  <dxfs count="12">
    <dxf>
      <fill>
        <patternFill patternType="solid">
          <bgColor rgb="FFDC2626"/>
        </patternFill>
      </fill>
    </dxf>
    <dxf>
      <fill>
        <patternFill patternType="solid">
          <bgColor rgb="FF64748B"/>
        </patternFill>
      </fill>
    </dxf>
    <dxf>
      <fill>
        <patternFill patternType="solid">
          <bgColor rgb="FFDC2626"/>
        </patternFill>
      </fill>
    </dxf>
    <dxf>
      <fill>
        <patternFill patternType="solid">
          <bgColor rgb="FF2563EB"/>
        </patternFill>
      </fill>
    </dxf>
    <dxf>
      <fill>
        <patternFill patternType="solid">
          <bgColor rgb="FFDC2626"/>
        </patternFill>
      </fill>
    </dxf>
    <dxf>
      <fill>
        <patternFill patternType="solid">
          <bgColor rgb="FF2563EB"/>
        </patternFill>
      </fill>
    </dxf>
    <dxf>
      <fill>
        <patternFill patternType="solid">
          <bgColor rgb="FFDC2626"/>
        </patternFill>
      </fill>
    </dxf>
    <dxf>
      <fill>
        <patternFill patternType="solid">
          <bgColor rgb="FF16A34A"/>
        </patternFill>
      </fill>
    </dxf>
    <dxf>
      <fill>
        <patternFill patternType="solid">
          <bgColor rgb="FFDC2626"/>
        </patternFill>
      </fill>
    </dxf>
    <dxf>
      <fill>
        <patternFill patternType="solid">
          <bgColor rgb="FFCA8A04"/>
        </patternFill>
      </fill>
    </dxf>
    <dxf>
      <fill>
        <patternFill patternType="solid">
          <bgColor rgb="FFDC2626"/>
        </patternFill>
      </fill>
    </dxf>
    <dxf>
      <fill>
        <patternFill patternType="solid">
          <bgColor rgb="FF16A34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0</xdr:colOff>
      <xdr:row>4</xdr:row>
      <xdr:rowOff>0</xdr:rowOff>
    </xdr:from>
    <xdr:ext cx="8572500" cy="4381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0</xdr:colOff>
      <xdr:row>38</xdr:row>
      <xdr:rowOff>0</xdr:rowOff>
    </xdr:from>
    <xdr:ext cx="8572500" cy="400050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0</xdr:colOff>
      <xdr:row>69</xdr:row>
      <xdr:rowOff>0</xdr:rowOff>
    </xdr:from>
    <xdr:ext cx="8572500" cy="40005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tblItens" displayName="tblItens" ref="A2:K17" totalsRowShown="1" headerRowCount="1">
  <autoFilter ref="A2:K1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Etapa" totalsRowLabel="Total"/>
    <tableColumn id="2" name="Item" totalsRowFunction="none"/>
    <tableColumn id="3" name="Codigo" totalsRowFunction="none"/>
    <tableColumn id="4" name="Fonte" totalsRowFunction="none"/>
    <tableColumn id="5" name="Descricao" totalsRowFunction="none"/>
    <tableColumn id="6" name="Und" totalsRowFunction="none"/>
    <tableColumn id="7" name="Qtd" totalsRowFunction="none"/>
    <tableColumn id="8" name="CustoUnit" totalsRowFunction="none"/>
    <tableColumn id="9" name="CustoTotal" totalsRowFunction="none"/>
    <tableColumn id="10" name="PrecoUnitBDI" totalsRowFunction="none"/>
    <tableColumn id="11" name="PrecoTotalBDI" totalsRowFunction="non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6A34A"/>
    <pageSetUpPr fitToPage="1"/>
  </sheetPr>
  <dimension ref="A1:B46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58" customWidth="1"/>
  </cols>
  <sheetData>
    <row r="1" spans="1:2" x14ac:dyDescent="0.25">
      <c r="A1" s="1" t="s">
        <v>0</v>
      </c>
      <c r="B1" s="1"/>
    </row>
    <row r="2" spans="1:2" x14ac:dyDescent="0.25">
      <c r="A2" s="2" t="s">
        <v>1</v>
      </c>
      <c r="B2" s="2"/>
    </row>
    <row r="3" spans="1:2" x14ac:dyDescent="0.25">
      <c r="A3" s="3" t="s">
        <v>2</v>
      </c>
      <c r="B3" s="3"/>
    </row>
    <row r="4" spans="1:2" x14ac:dyDescent="0.25">
      <c r="A4" s="4" t="s">
        <v>3</v>
      </c>
      <c r="B4" s="5" t="s">
        <v>4</v>
      </c>
    </row>
    <row r="5" spans="1:2" x14ac:dyDescent="0.25">
      <c r="A5" s="4" t="s">
        <v>5</v>
      </c>
      <c r="B5" s="5" t="s">
        <v>6</v>
      </c>
    </row>
    <row r="6" spans="1:2" x14ac:dyDescent="0.25">
      <c r="A6" s="4" t="s">
        <v>7</v>
      </c>
      <c r="B6" s="6">
        <v>27.03</v>
      </c>
    </row>
    <row r="7" spans="1:2" x14ac:dyDescent="0.25">
      <c r="A7" s="4" t="s">
        <v>8</v>
      </c>
      <c r="B7" s="5" t="s">
        <v>9</v>
      </c>
    </row>
    <row r="8" spans="1:2" x14ac:dyDescent="0.25">
      <c r="A8" s="4" t="s">
        <v>10</v>
      </c>
      <c r="B8" s="5" t="s">
        <v>11</v>
      </c>
    </row>
    <row r="9" spans="1:2" x14ac:dyDescent="0.25">
      <c r="A9" s="4" t="s">
        <v>12</v>
      </c>
      <c r="B9" s="5" t="s">
        <v>13</v>
      </c>
    </row>
    <row r="10" spans="1:2" x14ac:dyDescent="0.25">
      <c r="A10" s="4" t="s">
        <v>14</v>
      </c>
      <c r="B10" s="7">
        <f>'Sintética'!C13</f>
        <v>280425.12</v>
      </c>
    </row>
    <row r="11" spans="1:2" x14ac:dyDescent="0.25">
      <c r="A11" s="4" t="s">
        <v>15</v>
      </c>
      <c r="B11" s="7">
        <f>B12-B10</f>
        <v>75756.39</v>
      </c>
    </row>
    <row r="12" spans="1:2" x14ac:dyDescent="0.25">
      <c r="A12" s="8" t="s">
        <v>16</v>
      </c>
      <c r="B12" s="9">
        <f>'Sintética'!F13</f>
        <v>356181.51</v>
      </c>
    </row>
    <row r="13" spans="1:2" x14ac:dyDescent="0.25">
      <c r="A13" s="4" t="s">
        <v>17</v>
      </c>
      <c r="B13" s="5" t="s">
        <v>18</v>
      </c>
    </row>
    <row r="14" spans="1:2" x14ac:dyDescent="0.25">
      <c r="A14" s="10" t="s">
        <v>19</v>
      </c>
      <c r="B14" s="10"/>
    </row>
    <row r="15" spans="1:2" x14ac:dyDescent="0.25">
      <c r="A15" s="10"/>
      <c r="B15" s="10"/>
    </row>
    <row r="17" spans="1:2" x14ac:dyDescent="0.25">
      <c r="A17" s="11" t="s">
        <v>20</v>
      </c>
      <c r="B17" s="11"/>
    </row>
    <row r="18" spans="1:2" x14ac:dyDescent="0.25">
      <c r="A18" s="4" t="s">
        <v>21</v>
      </c>
      <c r="B18" s="12">
        <v>133134.5169123422</v>
      </c>
    </row>
    <row r="19" spans="1:2" x14ac:dyDescent="0.25">
      <c r="A19" s="4" t="s">
        <v>22</v>
      </c>
      <c r="B19" s="12">
        <v>146072.97341045324</v>
      </c>
    </row>
    <row r="20" spans="1:2" x14ac:dyDescent="0.25">
      <c r="A20" s="4" t="s">
        <v>23</v>
      </c>
      <c r="B20" s="12">
        <v>1217.6296772045496</v>
      </c>
    </row>
    <row r="21" spans="1:2" x14ac:dyDescent="0.25">
      <c r="A21" s="13" t="s">
        <v>24</v>
      </c>
      <c r="B21" s="13"/>
    </row>
    <row r="23" spans="1:2" x14ac:dyDescent="0.25">
      <c r="A23" s="11" t="s">
        <v>25</v>
      </c>
      <c r="B23" s="11"/>
    </row>
    <row r="24" spans="1:2" x14ac:dyDescent="0.25">
      <c r="A24" s="4" t="s">
        <v>26</v>
      </c>
      <c r="B24" s="14">
        <v>0.04</v>
      </c>
    </row>
    <row r="25" spans="1:2" x14ac:dyDescent="0.25">
      <c r="A25" s="4" t="s">
        <v>27</v>
      </c>
      <c r="B25" s="14">
        <v>0.008</v>
      </c>
    </row>
    <row r="26" spans="1:2" x14ac:dyDescent="0.25">
      <c r="A26" s="4" t="s">
        <v>28</v>
      </c>
      <c r="B26" s="14">
        <v>0.0097</v>
      </c>
    </row>
    <row r="27" spans="1:2" x14ac:dyDescent="0.25">
      <c r="A27" s="4" t="s">
        <v>29</v>
      </c>
      <c r="B27" s="14">
        <v>0.004</v>
      </c>
    </row>
    <row r="28" spans="1:2" x14ac:dyDescent="0.25">
      <c r="A28" s="4" t="s">
        <v>30</v>
      </c>
      <c r="B28" s="14">
        <v>0.012</v>
      </c>
    </row>
    <row r="29" spans="1:2" x14ac:dyDescent="0.25">
      <c r="A29" s="4" t="s">
        <v>31</v>
      </c>
      <c r="B29" s="14">
        <v>0.08</v>
      </c>
    </row>
    <row r="30" spans="1:2" x14ac:dyDescent="0.25">
      <c r="A30" s="4" t="s">
        <v>32</v>
      </c>
      <c r="B30" s="14">
        <v>0.08650000000000001</v>
      </c>
    </row>
    <row r="31" spans="1:2" x14ac:dyDescent="0.25">
      <c r="A31" s="4" t="s">
        <v>33</v>
      </c>
      <c r="B31" s="15">
        <f>(1+B24+B25+B26+B27)*(1+B28)*(1+B29)/(1-B30)-1</f>
        <v>0.27027436453202003</v>
      </c>
    </row>
    <row r="32" spans="1:2" x14ac:dyDescent="0.25">
      <c r="A32" s="4" t="s">
        <v>34</v>
      </c>
      <c r="B32" s="15">
        <f>$B$6/100</f>
        <v>0.2703</v>
      </c>
    </row>
    <row r="35" spans="1:2" x14ac:dyDescent="0.25">
      <c r="A35" s="11" t="s">
        <v>35</v>
      </c>
      <c r="B35" s="11"/>
    </row>
    <row r="36" spans="1:2" x14ac:dyDescent="0.25">
      <c r="A36" s="16" t="s">
        <v>36</v>
      </c>
      <c r="B36" s="17" t="str">
        <f>IF(ABS('Cronograma'!$X$11-B12)&lt;=0.05,"OK","⚠ verificar")</f>
        <v>OK</v>
      </c>
    </row>
    <row r="37" spans="1:2" x14ac:dyDescent="0.25">
      <c r="A37" s="16" t="s">
        <v>37</v>
      </c>
      <c r="B37" s="17" t="str">
        <f>IF(ABS(SUM('Curva ABC'!$F$9:$F$23)-B10)&lt;=0.05,"OK","⚠ verificar")</f>
        <v>OK</v>
      </c>
    </row>
    <row r="39" spans="1:2" x14ac:dyDescent="0.25">
      <c r="A39" s="11" t="s">
        <v>38</v>
      </c>
      <c r="B39" s="11"/>
    </row>
    <row r="40" spans="1:2" x14ac:dyDescent="0.25">
      <c r="A40" s="4" t="s">
        <v>39</v>
      </c>
      <c r="B40" s="5" t="s">
        <v>40</v>
      </c>
    </row>
    <row r="41" spans="1:2" x14ac:dyDescent="0.25">
      <c r="A41" s="4" t="s">
        <v>41</v>
      </c>
      <c r="B41" s="5" t="s">
        <v>42</v>
      </c>
    </row>
    <row r="42" spans="1:2" x14ac:dyDescent="0.25">
      <c r="A42" s="4" t="s">
        <v>43</v>
      </c>
      <c r="B42" s="5" t="s">
        <v>44</v>
      </c>
    </row>
    <row r="43" spans="1:2" x14ac:dyDescent="0.25">
      <c r="A43" s="4" t="s">
        <v>45</v>
      </c>
      <c r="B43" s="5" t="s">
        <v>46</v>
      </c>
    </row>
    <row r="45" spans="1:1" x14ac:dyDescent="0.25">
      <c r="A45" t="s">
        <v>47</v>
      </c>
    </row>
    <row r="46" spans="1:1" x14ac:dyDescent="0.25">
      <c r="A46" s="18" t="s">
        <v>48</v>
      </c>
    </row>
  </sheetData>
  <sheetProtection sheet="1" sort="0" autoFilter="0" algorithmName="SHA-512" hashValue="uyb0J2dnQ2Nk+24ofw/4IjxTsu8BdVnf5mjLvCGBH/ml+A5zlRByGV/B41+rjd3Fy7O1LK7pMcwK+KLRfSTUxw==" saltValue="J+OV8/hSOCWi783Sqo5VoA==" spinCount="100000"/>
  <mergeCells count="9">
    <mergeCell ref="A1:B1"/>
    <mergeCell ref="A2:B2"/>
    <mergeCell ref="A3:B3"/>
    <mergeCell ref="A14:B15"/>
    <mergeCell ref="A17:B17"/>
    <mergeCell ref="A21:B21"/>
    <mergeCell ref="A23:B23"/>
    <mergeCell ref="A35:B35"/>
    <mergeCell ref="A39:B39"/>
  </mergeCells>
  <dataValidations count="1">
    <dataValidation type="decimal" showErrorMessage="1" errorTitle="BDI (%)" error="BDI em porcentagem, entre 0 e 100 (ex.: 24,5)." sqref="B6">
      <formula1>0</formula1>
      <formula2>100</formula2>
    </dataValidation>
  </dataValidations>
  <pageMargins left="0.4" right="0.4" top="0.55" bottom="0.55" header="0.2" footer="0.25"/>
  <pageSetup paperSize="9" orientation="portrait" fitToWidth="1" fitToHeight="0"/>
  <headerFooter>
    <oddFooter>&amp;L&amp;8OrçaPRO — ORC-2026-4384&amp;C&amp;8Construtora Modelo Ltda&amp;R&amp;8Pág. &amp;P de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6F9E"/>
    <pageSetUpPr fitToPage="1"/>
  </sheetPr>
  <dimension ref="A1:G13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46" customWidth="1"/>
    <col min="3" max="3" width="16" customWidth="1"/>
    <col min="5" max="5" width="15" customWidth="1"/>
    <col min="6" max="6" width="17" customWidth="1"/>
    <col min="7" max="7" width="10" customWidth="1"/>
  </cols>
  <sheetData>
    <row r="1" spans="1:7" x14ac:dyDescent="0.25">
      <c r="A1" s="19" t="s">
        <v>0</v>
      </c>
      <c r="B1" s="19"/>
      <c r="C1" s="19"/>
      <c r="D1" s="19"/>
      <c r="E1" s="19"/>
      <c r="F1" s="19"/>
      <c r="G1" s="19"/>
    </row>
    <row r="2" spans="1:7" x14ac:dyDescent="0.25">
      <c r="A2" s="20" t="s">
        <v>49</v>
      </c>
      <c r="B2" s="20"/>
      <c r="C2" s="20"/>
      <c r="D2" s="20"/>
      <c r="E2" s="20"/>
      <c r="F2" s="20"/>
      <c r="G2" s="20"/>
    </row>
    <row r="3" spans="1:7" x14ac:dyDescent="0.25">
      <c r="A3" s="18" t="s">
        <v>50</v>
      </c>
      <c r="B3" s="18"/>
      <c r="C3" s="18"/>
      <c r="D3" s="18"/>
      <c r="E3" s="18"/>
      <c r="F3" s="18"/>
      <c r="G3" s="18"/>
    </row>
    <row r="4" spans="1:7" x14ac:dyDescent="0.25">
      <c r="A4" s="21" t="s">
        <v>51</v>
      </c>
      <c r="B4" s="21"/>
      <c r="C4" s="21"/>
      <c r="D4" s="21"/>
      <c r="E4" s="21"/>
      <c r="F4" s="21"/>
      <c r="G4" s="21"/>
    </row>
    <row r="6" spans="1:7" x14ac:dyDescent="0.25">
      <c r="A6" s="22" t="s">
        <v>52</v>
      </c>
      <c r="B6" s="22" t="s">
        <v>53</v>
      </c>
      <c r="C6" s="22" t="s">
        <v>54</v>
      </c>
      <c r="D6" s="22" t="s">
        <v>55</v>
      </c>
      <c r="E6" s="22" t="s">
        <v>15</v>
      </c>
      <c r="F6" s="22" t="s">
        <v>56</v>
      </c>
      <c r="G6" s="22" t="s">
        <v>57</v>
      </c>
    </row>
    <row r="7" spans="1:7" x14ac:dyDescent="0.25">
      <c r="A7" s="23" t="s">
        <v>58</v>
      </c>
      <c r="B7" s="23" t="s">
        <v>59</v>
      </c>
      <c r="C7" s="24">
        <f>SUMIFS('Analítica'!$H$7:$H$1006,'Analítica'!$K$7:$K$1006,"1|1.0")</f>
        <v>17637.2</v>
      </c>
      <c r="D7" s="25">
        <f>p_BDI</f>
        <v>27.03</v>
      </c>
      <c r="E7" s="24">
        <f>F7-C7</f>
        <v>4765.65</v>
      </c>
      <c r="F7" s="24">
        <f>SUMIFS('Analítica'!$J$7:$J$1006,'Analítica'!$K$7:$K$1006,"1|1.0")</f>
        <v>22402.85</v>
      </c>
      <c r="G7" s="26">
        <f>F7/$F$13</f>
        <v>0.06289728515104559</v>
      </c>
    </row>
    <row r="8" spans="1:7" x14ac:dyDescent="0.25">
      <c r="A8" s="27" t="s">
        <v>60</v>
      </c>
      <c r="B8" s="27" t="s">
        <v>61</v>
      </c>
      <c r="C8" s="28">
        <f>SUMIFS('Analítica'!$H$7:$H$1006,'Analítica'!$K$7:$K$1006,"2|2.0")</f>
        <v>24048.12</v>
      </c>
      <c r="D8" s="29">
        <f>p_BDI</f>
        <v>27.03</v>
      </c>
      <c r="E8" s="28">
        <f>F8-C8</f>
        <v>6499.76</v>
      </c>
      <c r="F8" s="28">
        <f>SUMIFS('Analítica'!$J$7:$J$1006,'Analítica'!$K$7:$K$1006,"2|2.0")</f>
        <v>30547.88</v>
      </c>
      <c r="G8" s="30">
        <f>F8/$F$13</f>
        <v>0.0857649236199824</v>
      </c>
    </row>
    <row r="9" spans="1:7" x14ac:dyDescent="0.25">
      <c r="A9" s="23" t="s">
        <v>62</v>
      </c>
      <c r="B9" s="23" t="s">
        <v>63</v>
      </c>
      <c r="C9" s="24">
        <f>SUMIFS('Analítica'!$H$7:$H$1006,'Analítica'!$K$7:$K$1006,"3|3.0")</f>
        <v>78424</v>
      </c>
      <c r="D9" s="25">
        <f>p_BDI</f>
        <v>27.03</v>
      </c>
      <c r="E9" s="24">
        <f>F9-C9</f>
        <v>21169.76</v>
      </c>
      <c r="F9" s="24">
        <f>SUMIFS('Analítica'!$J$7:$J$1006,'Analítica'!$K$7:$K$1006,"3|3.0")</f>
        <v>99593.76</v>
      </c>
      <c r="G9" s="26">
        <f>F9/$F$13</f>
        <v>0.27961518833473414</v>
      </c>
    </row>
    <row r="10" spans="1:7" x14ac:dyDescent="0.25">
      <c r="A10" s="27" t="s">
        <v>64</v>
      </c>
      <c r="B10" s="27" t="s">
        <v>65</v>
      </c>
      <c r="C10" s="28">
        <f>SUMIFS('Analítica'!$H$7:$H$1006,'Analítica'!$K$7:$K$1006,"4|4.0")</f>
        <v>102476.4</v>
      </c>
      <c r="D10" s="29">
        <f>p_BDI</f>
        <v>27.03</v>
      </c>
      <c r="E10" s="28">
        <f>F10-C10</f>
        <v>27688.2</v>
      </c>
      <c r="F10" s="28">
        <f>SUMIFS('Analítica'!$J$7:$J$1006,'Analítica'!$K$7:$K$1006,"4|4.0")</f>
        <v>130164.6</v>
      </c>
      <c r="G10" s="30">
        <f>F10/$F$13</f>
        <v>0.36544457347041964</v>
      </c>
    </row>
    <row r="11" spans="1:7" x14ac:dyDescent="0.25">
      <c r="A11" s="23" t="s">
        <v>66</v>
      </c>
      <c r="B11" s="23" t="s">
        <v>67</v>
      </c>
      <c r="C11" s="24">
        <f>SUMIFS('Analítica'!$H$7:$H$1006,'Analítica'!$K$7:$K$1006,"5|5.0")</f>
        <v>23244</v>
      </c>
      <c r="D11" s="25">
        <f>p_BDI</f>
        <v>27.03</v>
      </c>
      <c r="E11" s="24">
        <f>F11-C11</f>
        <v>6282.42</v>
      </c>
      <c r="F11" s="24">
        <f>SUMIFS('Analítica'!$J$7:$J$1006,'Analítica'!$K$7:$K$1006,"5|5.0")</f>
        <v>29526.42</v>
      </c>
      <c r="G11" s="26">
        <f>F11/$F$13</f>
        <v>0.08289711613609588</v>
      </c>
    </row>
    <row r="12" spans="1:7" x14ac:dyDescent="0.25">
      <c r="A12" s="27" t="s">
        <v>68</v>
      </c>
      <c r="B12" s="27" t="s">
        <v>69</v>
      </c>
      <c r="C12" s="28">
        <f>SUMIFS('Analítica'!$H$7:$H$1006,'Analítica'!$K$7:$K$1006,"6|6.0")</f>
        <v>34595.4</v>
      </c>
      <c r="D12" s="29">
        <f>p_BDI</f>
        <v>27.03</v>
      </c>
      <c r="E12" s="28">
        <f>F12-C12</f>
        <v>9350.6</v>
      </c>
      <c r="F12" s="28">
        <f>SUMIFS('Analítica'!$J$7:$J$1006,'Analítica'!$K$7:$K$1006,"6|6.0")</f>
        <v>43946</v>
      </c>
      <c r="G12" s="30">
        <f>F12/$F$13</f>
        <v>0.12338091328772231</v>
      </c>
    </row>
    <row r="13" spans="2:6" x14ac:dyDescent="0.25">
      <c r="B13" s="31" t="s">
        <v>70</v>
      </c>
      <c r="C13" s="32">
        <f>SUM(C7:C12)</f>
        <v>280425.12</v>
      </c>
      <c r="E13" s="32">
        <f>F13-C13</f>
        <v>75756.39</v>
      </c>
      <c r="F13" s="32">
        <f>SUM(F7:F12)</f>
        <v>356181.51</v>
      </c>
    </row>
  </sheetData>
  <sheetProtection sheet="1" sort="0" autoFilter="0" algorithmName="SHA-512" hashValue="qyc87DZ8GBW8AUQ0rEEjZzGG9qeXV+ow+G2EbtXZJeDEbQn+K+EXnUGbnH+5BLsIFjvH/FvJfgznVTU5IGjwGQ==" saltValue="UGAZkpdcmzOo+6rTU4sLwQ==" spinCount="100000"/>
  <mergeCells count="4">
    <mergeCell ref="A1:G1"/>
    <mergeCell ref="A2:G2"/>
    <mergeCell ref="A3:G3"/>
    <mergeCell ref="A4:G4"/>
  </mergeCells>
  <conditionalFormatting sqref="G7:G12">
    <cfRule type="dataBar" priority="1">
      <dataBar>
        <cfvo type="min"/>
        <cfvo type="max"/>
        <color rgb="FF2E6F9E"/>
      </dataBar>
      <extLst>
        <ext xmlns:x14="http://schemas.microsoft.com/office/spreadsheetml/2009/9/main" uri="{B025F937-C7B1-47D3-B67F-A62EFF666E3E}">
          <x14:id/>
        </ext>
      </extLst>
    </cfRule>
  </conditionalFormatting>
  <pageMargins left="0.4" right="0.4" top="0.55" bottom="0.55" header="0.2" footer="0.25"/>
  <pageSetup paperSize="9" orientation="portrait" fitToWidth="1" fitToHeight="0"/>
  <headerFooter>
    <oddFooter>&amp;L&amp;8OrçaPRO — ORC-2026-4384&amp;C&amp;8Construtora Modelo Ltda&amp;R&amp;8Pág.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2740"/>
    <pageSetUpPr fitToPage="1"/>
  </sheetPr>
  <dimension ref="A1:L37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2" customWidth="1"/>
    <col min="3" max="3" width="11" customWidth="1"/>
    <col min="4" max="4" width="50" customWidth="1"/>
    <col min="5" max="5" width="7" customWidth="1"/>
    <col min="6" max="6" width="10" customWidth="1"/>
    <col min="7" max="7" width="14" customWidth="1"/>
    <col min="8" max="8" width="15" customWidth="1"/>
    <col min="9" max="9" width="14" customWidth="1"/>
    <col min="10" max="10" width="16" customWidth="1"/>
    <col min="11" max="11" width="14" hidden="1" customWidth="1"/>
    <col min="12" max="12" width="60" customWidth="1"/>
  </cols>
  <sheetData>
    <row r="1" spans="1:10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20" t="s">
        <v>71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x14ac:dyDescent="0.25">
      <c r="A3" s="18" t="s">
        <v>72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x14ac:dyDescent="0.25">
      <c r="A4" s="3" t="s">
        <v>73</v>
      </c>
      <c r="B4" s="3"/>
      <c r="C4" s="3"/>
      <c r="D4" s="3"/>
      <c r="E4" s="3"/>
      <c r="F4" s="3"/>
      <c r="G4" s="3"/>
      <c r="H4" s="3"/>
      <c r="I4" s="3"/>
      <c r="J4" s="3"/>
    </row>
    <row r="6" spans="1:12" x14ac:dyDescent="0.25">
      <c r="A6" s="22" t="s">
        <v>52</v>
      </c>
      <c r="B6" s="22" t="s">
        <v>74</v>
      </c>
      <c r="C6" s="22" t="s">
        <v>75</v>
      </c>
      <c r="D6" s="22" t="s">
        <v>76</v>
      </c>
      <c r="E6" s="22" t="s">
        <v>77</v>
      </c>
      <c r="F6" s="22" t="s">
        <v>78</v>
      </c>
      <c r="G6" s="22" t="s">
        <v>79</v>
      </c>
      <c r="H6" s="22" t="s">
        <v>80</v>
      </c>
      <c r="I6" s="22" t="s">
        <v>81</v>
      </c>
      <c r="J6" s="22" t="s">
        <v>82</v>
      </c>
      <c r="K6" t="s">
        <v>53</v>
      </c>
      <c r="L6" s="22" t="s">
        <v>83</v>
      </c>
    </row>
    <row r="7" spans="1:10" x14ac:dyDescent="0.25">
      <c r="A7" s="33" t="s">
        <v>84</v>
      </c>
      <c r="B7" s="33"/>
      <c r="C7" s="33"/>
      <c r="D7" s="33"/>
      <c r="E7" s="33"/>
      <c r="F7" s="33"/>
      <c r="G7" s="33"/>
      <c r="H7" s="33"/>
      <c r="I7" s="33"/>
      <c r="J7" s="33"/>
    </row>
    <row r="8" spans="1:11" x14ac:dyDescent="0.25">
      <c r="A8" s="23" t="s">
        <v>85</v>
      </c>
      <c r="B8" s="23" t="s">
        <v>86</v>
      </c>
      <c r="C8" s="34" t="s">
        <v>87</v>
      </c>
      <c r="D8" s="23" t="s">
        <v>88</v>
      </c>
      <c r="E8" s="23" t="s">
        <v>89</v>
      </c>
      <c r="F8" s="35">
        <v>180</v>
      </c>
      <c r="G8" s="36">
        <v>78.54</v>
      </c>
      <c r="H8" s="24">
        <f>TRUNC(F8*TRUNC(G8,2),2)</f>
        <v>14137.2</v>
      </c>
      <c r="I8" s="24">
        <f>TRUNC(G8*(1+p_BDI/100),2)</f>
        <v>99.76</v>
      </c>
      <c r="J8" s="24">
        <f>TRUNC(F8*I8,2)</f>
        <v>17956.8</v>
      </c>
      <c r="K8" t="s">
        <v>90</v>
      </c>
    </row>
    <row r="9" spans="1:11" x14ac:dyDescent="0.25">
      <c r="A9" s="27" t="s">
        <v>91</v>
      </c>
      <c r="B9" s="27" t="s">
        <v>92</v>
      </c>
      <c r="C9" s="37" t="s">
        <v>93</v>
      </c>
      <c r="D9" s="27" t="s">
        <v>94</v>
      </c>
      <c r="E9" s="27" t="s">
        <v>95</v>
      </c>
      <c r="F9" s="35">
        <v>1</v>
      </c>
      <c r="G9" s="36">
        <v>3500</v>
      </c>
      <c r="H9" s="28">
        <f>TRUNC(F9*TRUNC(G9,2),2)</f>
        <v>3500</v>
      </c>
      <c r="I9" s="28">
        <f>TRUNC(G9*(1+p_BDI/100),2)</f>
        <v>4446.05</v>
      </c>
      <c r="J9" s="28">
        <f>TRUNC(F9*I9,2)</f>
        <v>4446.05</v>
      </c>
      <c r="K9" t="s">
        <v>90</v>
      </c>
    </row>
    <row r="10" spans="4:10" x14ac:dyDescent="0.25">
      <c r="D10" s="38" t="s">
        <v>96</v>
      </c>
      <c r="H10" s="39">
        <f>SUM(H8:H9)</f>
        <v>17637.2</v>
      </c>
      <c r="J10" s="39">
        <f>SUM(J8:J9)</f>
        <v>22402.85</v>
      </c>
    </row>
    <row r="11" spans="1:10" x14ac:dyDescent="0.25">
      <c r="A11" s="33" t="s">
        <v>97</v>
      </c>
      <c r="B11" s="33"/>
      <c r="C11" s="33"/>
      <c r="D11" s="33"/>
      <c r="E11" s="33"/>
      <c r="F11" s="33"/>
      <c r="G11" s="33"/>
      <c r="H11" s="33"/>
      <c r="I11" s="33"/>
      <c r="J11" s="33"/>
    </row>
    <row r="12" spans="1:11" x14ac:dyDescent="0.25">
      <c r="A12" s="23" t="s">
        <v>98</v>
      </c>
      <c r="B12" s="23" t="s">
        <v>99</v>
      </c>
      <c r="C12" s="34" t="s">
        <v>87</v>
      </c>
      <c r="D12" s="23" t="s">
        <v>100</v>
      </c>
      <c r="E12" s="23" t="s">
        <v>101</v>
      </c>
      <c r="F12" s="35">
        <v>42</v>
      </c>
      <c r="G12" s="36">
        <v>110.24</v>
      </c>
      <c r="H12" s="24">
        <f>TRUNC(F12*TRUNC(G12,2),2)</f>
        <v>4630.08</v>
      </c>
      <c r="I12" s="24">
        <f>TRUNC(G12*(1+p_BDI/100),2)</f>
        <v>140.03</v>
      </c>
      <c r="J12" s="24">
        <f>TRUNC(F12*I12,2)</f>
        <v>5881.26</v>
      </c>
      <c r="K12" t="s">
        <v>102</v>
      </c>
    </row>
    <row r="13" spans="1:11" x14ac:dyDescent="0.25">
      <c r="A13" s="27" t="s">
        <v>103</v>
      </c>
      <c r="B13" s="27" t="s">
        <v>92</v>
      </c>
      <c r="C13" s="37" t="s">
        <v>93</v>
      </c>
      <c r="D13" s="27" t="s">
        <v>104</v>
      </c>
      <c r="E13" s="27" t="s">
        <v>101</v>
      </c>
      <c r="F13" s="35">
        <v>6</v>
      </c>
      <c r="G13" s="36">
        <v>495</v>
      </c>
      <c r="H13" s="28">
        <f>TRUNC(F13*TRUNC(G13,2),2)</f>
        <v>2970</v>
      </c>
      <c r="I13" s="28">
        <f>TRUNC(G13*(1+p_BDI/100),2)</f>
        <v>628.79</v>
      </c>
      <c r="J13" s="28">
        <f>TRUNC(F13*I13,2)</f>
        <v>3772.74</v>
      </c>
      <c r="K13" t="s">
        <v>102</v>
      </c>
    </row>
    <row r="14" spans="1:11" x14ac:dyDescent="0.25">
      <c r="A14" s="23" t="s">
        <v>105</v>
      </c>
      <c r="B14" s="23" t="s">
        <v>106</v>
      </c>
      <c r="C14" s="34" t="s">
        <v>87</v>
      </c>
      <c r="D14" s="23" t="s">
        <v>107</v>
      </c>
      <c r="E14" s="23" t="s">
        <v>101</v>
      </c>
      <c r="F14" s="35">
        <v>28</v>
      </c>
      <c r="G14" s="36">
        <v>587.43</v>
      </c>
      <c r="H14" s="24">
        <f>TRUNC(F14*TRUNC(G14,2),2)</f>
        <v>16448.04</v>
      </c>
      <c r="I14" s="24">
        <f>TRUNC(G14*(1+p_BDI/100),2)</f>
        <v>746.21</v>
      </c>
      <c r="J14" s="24">
        <f>TRUNC(F14*I14,2)</f>
        <v>20893.88</v>
      </c>
      <c r="K14" t="s">
        <v>102</v>
      </c>
    </row>
    <row r="15" spans="4:10" x14ac:dyDescent="0.25">
      <c r="D15" s="38" t="s">
        <v>108</v>
      </c>
      <c r="H15" s="39">
        <f>SUM(H12:H14)</f>
        <v>24048.120000000003</v>
      </c>
      <c r="J15" s="39">
        <f>SUM(J12:J14)</f>
        <v>30547.88</v>
      </c>
    </row>
    <row r="16" spans="1:10" x14ac:dyDescent="0.25">
      <c r="A16" s="33" t="s">
        <v>109</v>
      </c>
      <c r="B16" s="33"/>
      <c r="C16" s="33"/>
      <c r="D16" s="33"/>
      <c r="E16" s="33"/>
      <c r="F16" s="33"/>
      <c r="G16" s="33"/>
      <c r="H16" s="33"/>
      <c r="I16" s="33"/>
      <c r="J16" s="33"/>
    </row>
    <row r="17" spans="1:11" x14ac:dyDescent="0.25">
      <c r="A17" s="27" t="s">
        <v>110</v>
      </c>
      <c r="B17" s="27" t="s">
        <v>92</v>
      </c>
      <c r="C17" s="37" t="s">
        <v>93</v>
      </c>
      <c r="D17" s="27" t="s">
        <v>111</v>
      </c>
      <c r="E17" s="27" t="s">
        <v>101</v>
      </c>
      <c r="F17" s="35">
        <v>34</v>
      </c>
      <c r="G17" s="36">
        <v>660</v>
      </c>
      <c r="H17" s="28">
        <f>TRUNC(F17*TRUNC(G17,2),2)</f>
        <v>22440</v>
      </c>
      <c r="I17" s="28">
        <f>TRUNC(G17*(1+p_BDI/100),2)</f>
        <v>838.39</v>
      </c>
      <c r="J17" s="28">
        <f>TRUNC(F17*I17,2)</f>
        <v>28505.26</v>
      </c>
      <c r="K17" t="s">
        <v>112</v>
      </c>
    </row>
    <row r="18" spans="1:11" x14ac:dyDescent="0.25">
      <c r="A18" s="23" t="s">
        <v>113</v>
      </c>
      <c r="B18" s="23" t="s">
        <v>114</v>
      </c>
      <c r="C18" s="34" t="s">
        <v>87</v>
      </c>
      <c r="D18" s="23" t="s">
        <v>115</v>
      </c>
      <c r="E18" s="23" t="s">
        <v>116</v>
      </c>
      <c r="F18" s="35">
        <v>2800</v>
      </c>
      <c r="G18" s="36">
        <v>13.13</v>
      </c>
      <c r="H18" s="24">
        <f>TRUNC(F18*TRUNC(G18,2),2)</f>
        <v>36764</v>
      </c>
      <c r="I18" s="24">
        <f>TRUNC(G18*(1+p_BDI/100),2)</f>
        <v>16.67</v>
      </c>
      <c r="J18" s="24">
        <f>TRUNC(F18*I18,2)</f>
        <v>46676</v>
      </c>
      <c r="K18" t="s">
        <v>112</v>
      </c>
    </row>
    <row r="19" spans="1:11" x14ac:dyDescent="0.25">
      <c r="A19" s="27" t="s">
        <v>117</v>
      </c>
      <c r="B19" s="27" t="s">
        <v>92</v>
      </c>
      <c r="C19" s="37" t="s">
        <v>93</v>
      </c>
      <c r="D19" s="27" t="s">
        <v>118</v>
      </c>
      <c r="E19" s="27" t="s">
        <v>119</v>
      </c>
      <c r="F19" s="35">
        <v>310</v>
      </c>
      <c r="G19" s="36">
        <v>62</v>
      </c>
      <c r="H19" s="28">
        <f>TRUNC(F19*TRUNC(G19,2),2)</f>
        <v>19220</v>
      </c>
      <c r="I19" s="28">
        <f>TRUNC(G19*(1+p_BDI/100),2)</f>
        <v>78.75</v>
      </c>
      <c r="J19" s="28">
        <f>TRUNC(F19*I19,2)</f>
        <v>24412.5</v>
      </c>
      <c r="K19" t="s">
        <v>112</v>
      </c>
    </row>
    <row r="20" spans="4:10" x14ac:dyDescent="0.25">
      <c r="D20" s="38" t="s">
        <v>120</v>
      </c>
      <c r="H20" s="39">
        <f>SUM(H17:H19)</f>
        <v>78424</v>
      </c>
      <c r="J20" s="39">
        <f>SUM(J17:J19)</f>
        <v>99593.76</v>
      </c>
    </row>
    <row r="21" spans="1:10" x14ac:dyDescent="0.25">
      <c r="A21" s="33" t="s">
        <v>121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1" x14ac:dyDescent="0.25">
      <c r="A22" s="23" t="s">
        <v>122</v>
      </c>
      <c r="B22" s="23" t="s">
        <v>123</v>
      </c>
      <c r="C22" s="34" t="s">
        <v>87</v>
      </c>
      <c r="D22" s="23" t="s">
        <v>124</v>
      </c>
      <c r="E22" s="23" t="s">
        <v>119</v>
      </c>
      <c r="F22" s="35">
        <v>420</v>
      </c>
      <c r="G22" s="36">
        <v>106.08</v>
      </c>
      <c r="H22" s="24">
        <f>TRUNC(F22*TRUNC(G22,2),2)</f>
        <v>44553.6</v>
      </c>
      <c r="I22" s="24">
        <f>TRUNC(G22*(1+p_BDI/100),2)</f>
        <v>134.75</v>
      </c>
      <c r="J22" s="24">
        <f>TRUNC(F22*I22,2)</f>
        <v>56595</v>
      </c>
      <c r="K22" t="s">
        <v>125</v>
      </c>
    </row>
    <row r="23" spans="1:11" x14ac:dyDescent="0.25">
      <c r="A23" s="27" t="s">
        <v>126</v>
      </c>
      <c r="B23" s="27" t="s">
        <v>127</v>
      </c>
      <c r="C23" s="37" t="s">
        <v>87</v>
      </c>
      <c r="D23" s="27" t="s">
        <v>128</v>
      </c>
      <c r="E23" s="27" t="s">
        <v>119</v>
      </c>
      <c r="F23" s="35">
        <v>780</v>
      </c>
      <c r="G23" s="36">
        <v>9.57</v>
      </c>
      <c r="H23" s="28">
        <f>TRUNC(F23*TRUNC(G23,2),2)</f>
        <v>7464.6</v>
      </c>
      <c r="I23" s="28">
        <f>TRUNC(G23*(1+p_BDI/100),2)</f>
        <v>12.15</v>
      </c>
      <c r="J23" s="28">
        <f>TRUNC(F23*I23,2)</f>
        <v>9477</v>
      </c>
      <c r="K23" t="s">
        <v>125</v>
      </c>
    </row>
    <row r="24" spans="1:11" x14ac:dyDescent="0.25">
      <c r="A24" s="23" t="s">
        <v>129</v>
      </c>
      <c r="B24" s="23" t="s">
        <v>130</v>
      </c>
      <c r="C24" s="34" t="s">
        <v>87</v>
      </c>
      <c r="D24" s="23" t="s">
        <v>131</v>
      </c>
      <c r="E24" s="23" t="s">
        <v>119</v>
      </c>
      <c r="F24" s="35">
        <v>780</v>
      </c>
      <c r="G24" s="36">
        <v>64.69</v>
      </c>
      <c r="H24" s="24">
        <f>TRUNC(F24*TRUNC(G24,2),2)</f>
        <v>50458.2</v>
      </c>
      <c r="I24" s="24">
        <f>TRUNC(G24*(1+p_BDI/100),2)</f>
        <v>82.17</v>
      </c>
      <c r="J24" s="24">
        <f>TRUNC(F24*I24,2)</f>
        <v>64092.6</v>
      </c>
      <c r="K24" t="s">
        <v>125</v>
      </c>
    </row>
    <row r="25" spans="4:10" x14ac:dyDescent="0.25">
      <c r="D25" s="38" t="s">
        <v>132</v>
      </c>
      <c r="H25" s="39">
        <f>SUM(H22:H24)</f>
        <v>102476.4</v>
      </c>
      <c r="J25" s="39">
        <f>SUM(J22:J24)</f>
        <v>130164.6</v>
      </c>
    </row>
    <row r="26" spans="1:10" x14ac:dyDescent="0.25">
      <c r="A26" s="33" t="s">
        <v>133</v>
      </c>
      <c r="B26" s="33"/>
      <c r="C26" s="33"/>
      <c r="D26" s="33"/>
      <c r="E26" s="33"/>
      <c r="F26" s="33"/>
      <c r="G26" s="33"/>
      <c r="H26" s="33"/>
      <c r="I26" s="33"/>
      <c r="J26" s="33"/>
    </row>
    <row r="27" spans="1:11" x14ac:dyDescent="0.25">
      <c r="A27" s="27" t="s">
        <v>134</v>
      </c>
      <c r="B27" s="27" t="s">
        <v>92</v>
      </c>
      <c r="C27" s="37" t="s">
        <v>93</v>
      </c>
      <c r="D27" s="27" t="s">
        <v>135</v>
      </c>
      <c r="E27" s="27" t="s">
        <v>95</v>
      </c>
      <c r="F27" s="35">
        <v>96</v>
      </c>
      <c r="G27" s="36">
        <v>142</v>
      </c>
      <c r="H27" s="28">
        <f>TRUNC(F27*TRUNC(G27,2),2)</f>
        <v>13632</v>
      </c>
      <c r="I27" s="28">
        <f>TRUNC(G27*(1+p_BDI/100),2)</f>
        <v>180.38</v>
      </c>
      <c r="J27" s="28">
        <f>TRUNC(F27*I27,2)</f>
        <v>17316.48</v>
      </c>
      <c r="K27" t="s">
        <v>136</v>
      </c>
    </row>
    <row r="28" spans="1:11" x14ac:dyDescent="0.25">
      <c r="A28" s="23" t="s">
        <v>137</v>
      </c>
      <c r="B28" s="23" t="s">
        <v>92</v>
      </c>
      <c r="C28" s="34" t="s">
        <v>93</v>
      </c>
      <c r="D28" s="23" t="s">
        <v>138</v>
      </c>
      <c r="E28" s="23" t="s">
        <v>95</v>
      </c>
      <c r="F28" s="35">
        <v>54</v>
      </c>
      <c r="G28" s="36">
        <v>178</v>
      </c>
      <c r="H28" s="24">
        <f>TRUNC(F28*TRUNC(G28,2),2)</f>
        <v>9612</v>
      </c>
      <c r="I28" s="24">
        <f>TRUNC(G28*(1+p_BDI/100),2)</f>
        <v>226.11</v>
      </c>
      <c r="J28" s="24">
        <f>TRUNC(F28*I28,2)</f>
        <v>12209.94</v>
      </c>
      <c r="K28" t="s">
        <v>136</v>
      </c>
    </row>
    <row r="29" spans="4:10" x14ac:dyDescent="0.25">
      <c r="D29" s="38" t="s">
        <v>139</v>
      </c>
      <c r="H29" s="39">
        <f>SUM(H27:H28)</f>
        <v>23244</v>
      </c>
      <c r="J29" s="39">
        <f>SUM(J27:J28)</f>
        <v>29526.42</v>
      </c>
    </row>
    <row r="30" spans="1:10" x14ac:dyDescent="0.25">
      <c r="A30" s="33" t="s">
        <v>140</v>
      </c>
      <c r="B30" s="33"/>
      <c r="C30" s="33"/>
      <c r="D30" s="33"/>
      <c r="E30" s="33"/>
      <c r="F30" s="33"/>
      <c r="G30" s="33"/>
      <c r="H30" s="33"/>
      <c r="I30" s="33"/>
      <c r="J30" s="33"/>
    </row>
    <row r="31" spans="1:11" x14ac:dyDescent="0.25">
      <c r="A31" s="27" t="s">
        <v>141</v>
      </c>
      <c r="B31" s="27" t="s">
        <v>142</v>
      </c>
      <c r="C31" s="37" t="s">
        <v>87</v>
      </c>
      <c r="D31" s="27" t="s">
        <v>143</v>
      </c>
      <c r="E31" s="27" t="s">
        <v>119</v>
      </c>
      <c r="F31" s="35">
        <v>180</v>
      </c>
      <c r="G31" s="36">
        <v>115.99</v>
      </c>
      <c r="H31" s="28">
        <f>TRUNC(F31*TRUNC(G31,2),2)</f>
        <v>20878.2</v>
      </c>
      <c r="I31" s="28">
        <f>TRUNC(G31*(1+p_BDI/100),2)</f>
        <v>147.34</v>
      </c>
      <c r="J31" s="28">
        <f>TRUNC(F31*I31,2)</f>
        <v>26521.2</v>
      </c>
      <c r="K31" t="s">
        <v>144</v>
      </c>
    </row>
    <row r="32" spans="1:11" x14ac:dyDescent="0.25">
      <c r="A32" s="23" t="s">
        <v>145</v>
      </c>
      <c r="B32" s="23" t="s">
        <v>146</v>
      </c>
      <c r="C32" s="34" t="s">
        <v>87</v>
      </c>
      <c r="D32" s="23" t="s">
        <v>147</v>
      </c>
      <c r="E32" s="23" t="s">
        <v>119</v>
      </c>
      <c r="F32" s="35">
        <v>920</v>
      </c>
      <c r="G32" s="36">
        <v>14.91</v>
      </c>
      <c r="H32" s="24">
        <f>TRUNC(F32*TRUNC(G32,2),2)</f>
        <v>13717.2</v>
      </c>
      <c r="I32" s="24">
        <f>TRUNC(G32*(1+p_BDI/100),2)</f>
        <v>18.94</v>
      </c>
      <c r="J32" s="24">
        <f>TRUNC(F32*I32,2)</f>
        <v>17424.8</v>
      </c>
      <c r="K32" t="s">
        <v>144</v>
      </c>
    </row>
    <row r="33" spans="4:10" x14ac:dyDescent="0.25">
      <c r="D33" s="38" t="s">
        <v>148</v>
      </c>
      <c r="H33" s="39">
        <f>SUM(H31:H32)</f>
        <v>34595.4</v>
      </c>
      <c r="J33" s="39">
        <f>SUM(J31:J32)</f>
        <v>43946</v>
      </c>
    </row>
    <row r="35" spans="4:8" x14ac:dyDescent="0.25">
      <c r="D35" s="38" t="s">
        <v>149</v>
      </c>
      <c r="H35" s="40">
        <f>H10+H15+H20+H25+H29+H33</f>
        <v>280425.12</v>
      </c>
    </row>
    <row r="36" spans="4:8" x14ac:dyDescent="0.25">
      <c r="D36" s="38" t="s">
        <v>150</v>
      </c>
      <c r="H36" s="41">
        <f>H37-H35</f>
        <v>75756.39</v>
      </c>
    </row>
    <row r="37" spans="4:8" x14ac:dyDescent="0.25">
      <c r="D37" s="42" t="s">
        <v>151</v>
      </c>
      <c r="H37" s="43">
        <f>J10+J15+J20+J25+J29+J33</f>
        <v>356181.51</v>
      </c>
    </row>
  </sheetData>
  <sheetProtection sheet="1" sort="0" autoFilter="0" algorithmName="SHA-512" hashValue="xd2ZW+/JGWM4Co86qcqi/iwOYjPaeSK/iXj9c5CHTJAcFMNaDzTkTQ92GAl+jVN1lysxUfTvJAqeSgoOOFQg1A==" saltValue="Jcet115HxU8sfElUECXt1w==" spinCount="100000"/>
  <mergeCells count="10">
    <mergeCell ref="A1:J1"/>
    <mergeCell ref="A2:J2"/>
    <mergeCell ref="A3:J3"/>
    <mergeCell ref="A4:J4"/>
    <mergeCell ref="A7:J7"/>
    <mergeCell ref="A11:J11"/>
    <mergeCell ref="A16:J16"/>
    <mergeCell ref="A21:J21"/>
    <mergeCell ref="A26:J26"/>
    <mergeCell ref="A30:J30"/>
  </mergeCells>
  <dataValidations count="12">
    <dataValidation type="decimal" operator="greaterThanOrEqual" showErrorMessage="1" errorTitle="Quantidade" error="Informe um número maior ou igual a zero (use vírgula como decimal)." sqref="F12:F14">
      <formula1>0</formula1>
    </dataValidation>
    <dataValidation type="decimal" operator="greaterThanOrEqual" showErrorMessage="1" errorTitle="Quantidade" error="Informe um número maior ou igual a zero (use vírgula como decimal)." sqref="F17:F19">
      <formula1>0</formula1>
    </dataValidation>
    <dataValidation type="decimal" operator="greaterThanOrEqual" showErrorMessage="1" errorTitle="Quantidade" error="Informe um número maior ou igual a zero (use vírgula como decimal)." sqref="F22:F24">
      <formula1>0</formula1>
    </dataValidation>
    <dataValidation type="decimal" operator="greaterThanOrEqual" showErrorMessage="1" errorTitle="Quantidade" error="Informe um número maior ou igual a zero (use vírgula como decimal)." sqref="F27:F28">
      <formula1>0</formula1>
    </dataValidation>
    <dataValidation type="decimal" operator="greaterThanOrEqual" showErrorMessage="1" errorTitle="Quantidade" error="Informe um número maior ou igual a zero (use vírgula como decimal)." sqref="F31:F32">
      <formula1>0</formula1>
    </dataValidation>
    <dataValidation type="decimal" operator="greaterThanOrEqual" showErrorMessage="1" errorTitle="Quantidade" error="Informe um número maior ou igual a zero (use vírgula como decimal)." sqref="F8:F9">
      <formula1>0</formula1>
    </dataValidation>
    <dataValidation type="decimal" operator="greaterThanOrEqual" showErrorMessage="1" errorTitle="Custo unitário" error="Informe um número maior ou igual a zero (use vírgula como decimal)." sqref="G12:G14">
      <formula1>0</formula1>
    </dataValidation>
    <dataValidation type="decimal" operator="greaterThanOrEqual" showErrorMessage="1" errorTitle="Custo unitário" error="Informe um número maior ou igual a zero (use vírgula como decimal)." sqref="G17:G19">
      <formula1>0</formula1>
    </dataValidation>
    <dataValidation type="decimal" operator="greaterThanOrEqual" showErrorMessage="1" errorTitle="Custo unitário" error="Informe um número maior ou igual a zero (use vírgula como decimal)." sqref="G22:G24">
      <formula1>0</formula1>
    </dataValidation>
    <dataValidation type="decimal" operator="greaterThanOrEqual" showErrorMessage="1" errorTitle="Custo unitário" error="Informe um número maior ou igual a zero (use vírgula como decimal)." sqref="G27:G28">
      <formula1>0</formula1>
    </dataValidation>
    <dataValidation type="decimal" operator="greaterThanOrEqual" showErrorMessage="1" errorTitle="Custo unitário" error="Informe um número maior ou igual a zero (use vírgula como decimal)." sqref="G31:G32">
      <formula1>0</formula1>
    </dataValidation>
    <dataValidation type="decimal" operator="greaterThanOrEqual" showErrorMessage="1" errorTitle="Custo unitário" error="Informe um número maior ou igual a zero (use vírgula como decimal)." sqref="G8:G9">
      <formula1>0</formula1>
    </dataValidation>
  </dataValidations>
  <pageMargins left="0.4" right="0.4" top="0.55" bottom="0.55" header="0.2" footer="0.25"/>
  <pageSetup paperSize="9" orientation="landscape" fitToWidth="1" fitToHeight="0"/>
  <headerFooter>
    <oddFooter>&amp;L&amp;8OrçaPRO — ORC-2026-4384&amp;C&amp;8Construtora Modelo Ltda&amp;R&amp;8Pág. &amp;P de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59E0B"/>
    <pageSetUpPr fitToPage="1"/>
  </sheetPr>
  <dimension ref="A1:Y11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4" max="24" width="10" customWidth="1"/>
    <col min="25" max="25" width="12" customWidth="1"/>
  </cols>
  <sheetData>
    <row r="1" spans="1:25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x14ac:dyDescent="0.25">
      <c r="A2" s="20" t="s">
        <v>152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x14ac:dyDescent="0.25">
      <c r="A3" s="3" t="s">
        <v>153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5" spans="1:25" x14ac:dyDescent="0.25">
      <c r="A5" s="22" t="s">
        <v>53</v>
      </c>
      <c r="B5" s="22" t="s">
        <v>154</v>
      </c>
      <c r="C5" s="22" t="s">
        <v>155</v>
      </c>
      <c r="D5" s="22" t="s">
        <v>156</v>
      </c>
      <c r="E5" s="22" t="s">
        <v>157</v>
      </c>
      <c r="F5" s="22" t="s">
        <v>158</v>
      </c>
      <c r="G5" s="22" t="s">
        <v>159</v>
      </c>
      <c r="H5" s="22" t="s">
        <v>160</v>
      </c>
      <c r="I5" s="22" t="s">
        <v>161</v>
      </c>
      <c r="J5" s="22" t="s">
        <v>162</v>
      </c>
      <c r="K5" s="22" t="s">
        <v>163</v>
      </c>
      <c r="L5" s="22" t="s">
        <v>164</v>
      </c>
      <c r="M5" s="22" t="s">
        <v>165</v>
      </c>
      <c r="N5" s="22" t="s">
        <v>166</v>
      </c>
      <c r="O5" s="22" t="s">
        <v>167</v>
      </c>
      <c r="P5" s="22" t="s">
        <v>168</v>
      </c>
      <c r="Q5" s="22" t="s">
        <v>169</v>
      </c>
      <c r="R5" s="22" t="s">
        <v>170</v>
      </c>
      <c r="S5" s="22" t="s">
        <v>171</v>
      </c>
      <c r="T5" s="22" t="s">
        <v>172</v>
      </c>
      <c r="U5" s="22" t="s">
        <v>173</v>
      </c>
      <c r="V5" s="22" t="s">
        <v>174</v>
      </c>
      <c r="W5" s="22" t="s">
        <v>175</v>
      </c>
      <c r="X5" s="22" t="s">
        <v>176</v>
      </c>
      <c r="Y5" s="22" t="s">
        <v>177</v>
      </c>
    </row>
    <row r="6" spans="1:25" x14ac:dyDescent="0.25">
      <c r="A6" s="23" t="s">
        <v>178</v>
      </c>
      <c r="B6" s="44">
        <v>1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  <c r="X6" s="45">
        <f>SUM(B6:W6)</f>
        <v>1</v>
      </c>
      <c r="Y6" s="17" t="str">
        <f>IF(ABS(X6-1)&gt;0.001,"⚠ ≠100%","OK")</f>
        <v>OK</v>
      </c>
    </row>
    <row r="7" spans="1:25" x14ac:dyDescent="0.25">
      <c r="A7" s="23" t="s">
        <v>179</v>
      </c>
      <c r="B7" s="44">
        <v>0.9999999999999999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5">
        <f>SUM(B7:W7)</f>
        <v>0.9999999999999999</v>
      </c>
      <c r="Y7" s="17" t="str">
        <f>IF(ABS(X7-1)&gt;0.001,"⚠ ≠100%","OK")</f>
        <v>OK</v>
      </c>
    </row>
    <row r="8" spans="1:25" x14ac:dyDescent="0.25">
      <c r="A8" s="23" t="s">
        <v>180</v>
      </c>
      <c r="B8" s="44">
        <v>0.005714285714285713</v>
      </c>
      <c r="C8" s="44">
        <v>0.060000000000000026</v>
      </c>
      <c r="D8" s="44">
        <v>0.054285714285714305</v>
      </c>
      <c r="E8" s="44">
        <v>0.06285714285714289</v>
      </c>
      <c r="F8" s="44">
        <v>0.05714285714285716</v>
      </c>
      <c r="G8" s="44">
        <v>0.05142857142857145</v>
      </c>
      <c r="H8" s="44">
        <v>0.06285714285714289</v>
      </c>
      <c r="I8" s="44">
        <v>0.060000000000000026</v>
      </c>
      <c r="J8" s="44">
        <v>0.05714285714285716</v>
      </c>
      <c r="K8" s="44">
        <v>0.06285714285714289</v>
      </c>
      <c r="L8" s="44">
        <v>0.06285714285714289</v>
      </c>
      <c r="M8" s="44">
        <v>0.06285714285714289</v>
      </c>
      <c r="N8" s="44">
        <v>0.060000000000000026</v>
      </c>
      <c r="O8" s="44">
        <v>0.05714285714285716</v>
      </c>
      <c r="P8" s="44">
        <v>0.05714285714285716</v>
      </c>
      <c r="Q8" s="44">
        <v>0.06571428571428574</v>
      </c>
      <c r="R8" s="44">
        <v>0.060000000000000026</v>
      </c>
      <c r="S8" s="44">
        <v>0.04000000000000001</v>
      </c>
      <c r="T8" s="44">
        <v>0</v>
      </c>
      <c r="U8" s="44">
        <v>0</v>
      </c>
      <c r="V8" s="44">
        <v>0</v>
      </c>
      <c r="W8" s="44">
        <v>0</v>
      </c>
      <c r="X8" s="45">
        <f>SUM(B8:W8)</f>
        <v>1.0000000000000004</v>
      </c>
      <c r="Y8" s="17" t="str">
        <f>IF(ABS(X8-1)&gt;0.001,"⚠ ≠100%","OK")</f>
        <v>OK</v>
      </c>
    </row>
    <row r="9" spans="1:25" x14ac:dyDescent="0.25">
      <c r="A9" s="23" t="s">
        <v>181</v>
      </c>
      <c r="B9" s="44">
        <v>0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0.13281250000000003</v>
      </c>
      <c r="R9" s="44">
        <v>0.16406250000000006</v>
      </c>
      <c r="S9" s="44">
        <v>0.14843750000000006</v>
      </c>
      <c r="T9" s="44">
        <v>0.17968750000000006</v>
      </c>
      <c r="U9" s="44">
        <v>0.14062500000000003</v>
      </c>
      <c r="V9" s="44">
        <v>0.17187500000000006</v>
      </c>
      <c r="W9" s="44">
        <v>0.06249999999999999</v>
      </c>
      <c r="X9" s="45">
        <f>SUM(B9:W9)</f>
        <v>1.0000000000000002</v>
      </c>
      <c r="Y9" s="17" t="str">
        <f>IF(ABS(X9-1)&gt;0.001,"⚠ ≠100%","OK")</f>
        <v>OK</v>
      </c>
    </row>
    <row r="10" spans="1:25" x14ac:dyDescent="0.25">
      <c r="A10" s="23" t="s">
        <v>182</v>
      </c>
      <c r="B10" s="44">
        <v>0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1</v>
      </c>
      <c r="W10" s="44">
        <v>0</v>
      </c>
      <c r="X10" s="45">
        <f>SUM(B10:W10)</f>
        <v>1</v>
      </c>
      <c r="Y10" s="17" t="str">
        <f>IF(ABS(X10-1)&gt;0.001,"⚠ ≠100%","OK")</f>
        <v>OK</v>
      </c>
    </row>
    <row r="11" spans="1:25" x14ac:dyDescent="0.25">
      <c r="A11" s="23" t="s">
        <v>183</v>
      </c>
      <c r="B11" s="44">
        <v>0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0.05128205128205129</v>
      </c>
      <c r="W11" s="44">
        <v>0.9487179487179489</v>
      </c>
      <c r="X11" s="45">
        <f>SUM(B11:W11)</f>
        <v>1.0000000000000002</v>
      </c>
      <c r="Y11" s="17" t="str">
        <f>IF(ABS(X11-1)&gt;0.001,"⚠ ≠100%","OK")</f>
        <v>OK</v>
      </c>
    </row>
  </sheetData>
  <sheetProtection sheet="1" sort="0" autoFilter="0" algorithmName="SHA-512" hashValue="A0H4pPX3zwExkjtqgaL5hFbr2d0weuZ6ot0WaH3kw7DN6Hu/4tHvFdmwq+r5D7C3neCrZrbPupwBqDSt/NTSew==" saltValue="rVW4icvwFAKzBbcirG7pRA==" spinCount="100000"/>
  <mergeCells count="3">
    <mergeCell ref="A1:Y1"/>
    <mergeCell ref="A2:Y2"/>
    <mergeCell ref="A3:Y3"/>
  </mergeCells>
  <dataValidations count="2">
    <dataValidation type="decimal" showErrorMessage="1" errorTitle="Percentual do mês" error="Digite a fração do mês em % (ex.: 30%) — entre 0% e 100%." sqref="B10:W11">
      <formula1>0</formula1>
      <formula2>1</formula2>
    </dataValidation>
    <dataValidation type="decimal" showErrorMessage="1" errorTitle="Percentual do mês" error="Digite a fração do mês em % (ex.: 30%) — entre 0% e 100%." sqref="B6:W11">
      <formula1>0</formula1>
      <formula2>1</formula2>
    </dataValidation>
  </dataValidations>
  <pageMargins left="0.4" right="0.4" top="0.55" bottom="0.55" header="0.2" footer="0.25"/>
  <pageSetup paperSize="9" orientation="landscape" fitToWidth="1" fitToHeight="0"/>
  <headerFooter>
    <oddFooter>&amp;L&amp;8OrçaPRO — ORC-2026-4384&amp;C&amp;8Construtora Modelo Ltda&amp;R&amp;8Pág. &amp;P de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A5E9"/>
    <pageSetUpPr fitToPage="1"/>
  </sheetPr>
  <dimension ref="A1:I68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3" width="11" customWidth="1"/>
    <col min="4" max="4" width="46" customWidth="1"/>
    <col min="5" max="5" width="6" customWidth="1"/>
    <col min="6" max="6" width="11" customWidth="1"/>
    <col min="7" max="9" width="13" customWidth="1"/>
  </cols>
  <sheetData>
    <row r="1" spans="1:9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20" t="s">
        <v>184</v>
      </c>
      <c r="B2" s="20"/>
      <c r="C2" s="20"/>
      <c r="D2" s="20"/>
      <c r="E2" s="20"/>
      <c r="F2" s="20"/>
      <c r="G2" s="20"/>
      <c r="H2" s="20"/>
      <c r="I2" s="20"/>
    </row>
    <row r="3" spans="1:9" x14ac:dyDescent="0.25">
      <c r="A3" s="3" t="s">
        <v>185</v>
      </c>
      <c r="B3" s="3"/>
      <c r="C3" s="3"/>
      <c r="D3" s="3"/>
      <c r="E3" s="3"/>
      <c r="F3" s="3"/>
      <c r="G3" s="3"/>
      <c r="H3" s="3"/>
      <c r="I3" s="3"/>
    </row>
    <row r="4" spans="1:9" x14ac:dyDescent="0.25">
      <c r="A4" s="21" t="s">
        <v>51</v>
      </c>
      <c r="B4" s="21"/>
      <c r="C4" s="21"/>
      <c r="D4" s="21"/>
      <c r="E4" s="21"/>
      <c r="F4" s="21"/>
      <c r="G4" s="21"/>
      <c r="H4" s="21"/>
      <c r="I4" s="21"/>
    </row>
    <row r="5" spans="1:9" x14ac:dyDescent="0.25">
      <c r="A5" s="22" t="s">
        <v>186</v>
      </c>
      <c r="B5" s="22" t="s">
        <v>187</v>
      </c>
      <c r="C5" s="22" t="s">
        <v>188</v>
      </c>
      <c r="D5" s="22" t="s">
        <v>189</v>
      </c>
      <c r="E5" s="22" t="s">
        <v>77</v>
      </c>
      <c r="F5" s="22" t="s">
        <v>190</v>
      </c>
      <c r="G5" s="22" t="s">
        <v>79</v>
      </c>
      <c r="H5" s="22" t="s">
        <v>80</v>
      </c>
      <c r="I5" s="22" t="s">
        <v>191</v>
      </c>
    </row>
    <row r="6" spans="1:9" x14ac:dyDescent="0.25">
      <c r="A6" s="33" t="s">
        <v>192</v>
      </c>
      <c r="B6" s="33"/>
      <c r="C6" s="33"/>
      <c r="D6" s="33"/>
      <c r="E6" s="33"/>
      <c r="F6" s="33"/>
      <c r="G6" s="33"/>
      <c r="H6" s="33"/>
      <c r="I6" s="33"/>
    </row>
    <row r="7" spans="1:9" x14ac:dyDescent="0.25">
      <c r="A7" s="23" t="s">
        <v>86</v>
      </c>
      <c r="B7" s="23" t="s">
        <v>193</v>
      </c>
      <c r="C7" s="23" t="s">
        <v>194</v>
      </c>
      <c r="D7" s="23" t="s">
        <v>195</v>
      </c>
      <c r="E7" s="23" t="s">
        <v>101</v>
      </c>
      <c r="F7" s="46">
        <v>0.004</v>
      </c>
      <c r="G7" s="24">
        <v>547.45</v>
      </c>
      <c r="H7" s="24">
        <f>F7*G7</f>
        <v>2.1898</v>
      </c>
      <c r="I7" s="23" t="s">
        <v>196</v>
      </c>
    </row>
    <row r="8" spans="1:9" x14ac:dyDescent="0.25">
      <c r="A8" s="27" t="s">
        <v>86</v>
      </c>
      <c r="B8" s="27" t="s">
        <v>197</v>
      </c>
      <c r="C8" s="27" t="s">
        <v>194</v>
      </c>
      <c r="D8" s="27" t="s">
        <v>198</v>
      </c>
      <c r="E8" s="27" t="s">
        <v>199</v>
      </c>
      <c r="F8" s="47">
        <v>0.028</v>
      </c>
      <c r="G8" s="28">
        <v>43.42</v>
      </c>
      <c r="H8" s="28">
        <f>F8*G8</f>
        <v>1.2158</v>
      </c>
      <c r="I8" s="27" t="s">
        <v>200</v>
      </c>
    </row>
    <row r="9" spans="1:9" x14ac:dyDescent="0.25">
      <c r="A9" s="23" t="s">
        <v>86</v>
      </c>
      <c r="B9" s="23" t="s">
        <v>201</v>
      </c>
      <c r="C9" s="23" t="s">
        <v>194</v>
      </c>
      <c r="D9" s="23" t="s">
        <v>202</v>
      </c>
      <c r="E9" s="23" t="s">
        <v>203</v>
      </c>
      <c r="F9" s="46">
        <v>0.007</v>
      </c>
      <c r="G9" s="24">
        <v>45.07</v>
      </c>
      <c r="H9" s="24">
        <f>F9*G9</f>
        <v>0.3155</v>
      </c>
      <c r="I9" s="23" t="s">
        <v>200</v>
      </c>
    </row>
    <row r="10" spans="1:9" x14ac:dyDescent="0.25">
      <c r="A10" s="27" t="s">
        <v>86</v>
      </c>
      <c r="B10" s="27" t="s">
        <v>204</v>
      </c>
      <c r="C10" s="27" t="s">
        <v>194</v>
      </c>
      <c r="D10" s="27" t="s">
        <v>205</v>
      </c>
      <c r="E10" s="27" t="s">
        <v>206</v>
      </c>
      <c r="F10" s="47">
        <v>0.7247</v>
      </c>
      <c r="G10" s="28">
        <v>32.89</v>
      </c>
      <c r="H10" s="28">
        <f>F10*G10</f>
        <v>23.8354</v>
      </c>
      <c r="I10" s="27" t="s">
        <v>200</v>
      </c>
    </row>
    <row r="11" spans="1:9" x14ac:dyDescent="0.25">
      <c r="A11" s="23" t="s">
        <v>86</v>
      </c>
      <c r="B11" s="23" t="s">
        <v>207</v>
      </c>
      <c r="C11" s="23" t="s">
        <v>194</v>
      </c>
      <c r="D11" s="23" t="s">
        <v>208</v>
      </c>
      <c r="E11" s="23" t="s">
        <v>206</v>
      </c>
      <c r="F11" s="46">
        <v>0.7247</v>
      </c>
      <c r="G11" s="24">
        <v>27.03</v>
      </c>
      <c r="H11" s="24">
        <f>F11*G11</f>
        <v>19.5886</v>
      </c>
      <c r="I11" s="23" t="s">
        <v>200</v>
      </c>
    </row>
    <row r="12" spans="1:9" x14ac:dyDescent="0.25">
      <c r="A12" s="27" t="s">
        <v>86</v>
      </c>
      <c r="B12" s="27" t="s">
        <v>209</v>
      </c>
      <c r="C12" s="27" t="s">
        <v>189</v>
      </c>
      <c r="D12" s="27" t="s">
        <v>210</v>
      </c>
      <c r="E12" s="27" t="s">
        <v>89</v>
      </c>
      <c r="F12" s="47">
        <v>0.55</v>
      </c>
      <c r="G12" s="28">
        <v>8.71</v>
      </c>
      <c r="H12" s="28">
        <f>F12*G12</f>
        <v>4.7905</v>
      </c>
      <c r="I12" s="27" t="s">
        <v>196</v>
      </c>
    </row>
    <row r="13" spans="1:9" x14ac:dyDescent="0.25">
      <c r="A13" s="23" t="s">
        <v>86</v>
      </c>
      <c r="B13" s="23" t="s">
        <v>211</v>
      </c>
      <c r="C13" s="23" t="s">
        <v>189</v>
      </c>
      <c r="D13" s="23" t="s">
        <v>212</v>
      </c>
      <c r="E13" s="23" t="s">
        <v>213</v>
      </c>
      <c r="F13" s="46">
        <v>0.0256</v>
      </c>
      <c r="G13" s="24">
        <v>34.15</v>
      </c>
      <c r="H13" s="24">
        <f>F13*G13</f>
        <v>0.8742</v>
      </c>
      <c r="I13" s="23" t="s">
        <v>196</v>
      </c>
    </row>
    <row r="14" spans="1:9" x14ac:dyDescent="0.25">
      <c r="A14" s="27" t="s">
        <v>86</v>
      </c>
      <c r="B14" s="27" t="s">
        <v>214</v>
      </c>
      <c r="C14" s="27" t="s">
        <v>189</v>
      </c>
      <c r="D14" s="27" t="s">
        <v>215</v>
      </c>
      <c r="E14" s="27" t="s">
        <v>116</v>
      </c>
      <c r="F14" s="47">
        <v>0.111</v>
      </c>
      <c r="G14" s="28">
        <v>18.85</v>
      </c>
      <c r="H14" s="28">
        <f>F14*G14</f>
        <v>2.0924</v>
      </c>
      <c r="I14" s="27" t="s">
        <v>196</v>
      </c>
    </row>
    <row r="15" spans="1:9" x14ac:dyDescent="0.25">
      <c r="A15" s="23" t="s">
        <v>86</v>
      </c>
      <c r="B15" s="23" t="s">
        <v>216</v>
      </c>
      <c r="C15" s="23" t="s">
        <v>189</v>
      </c>
      <c r="D15" s="23" t="s">
        <v>217</v>
      </c>
      <c r="E15" s="23" t="s">
        <v>89</v>
      </c>
      <c r="F15" s="46">
        <v>0.4125</v>
      </c>
      <c r="G15" s="24">
        <v>38.23</v>
      </c>
      <c r="H15" s="24">
        <f>F15*G15</f>
        <v>15.7699</v>
      </c>
      <c r="I15" s="23" t="s">
        <v>196</v>
      </c>
    </row>
    <row r="16" spans="1:9" x14ac:dyDescent="0.25">
      <c r="A16" s="27" t="s">
        <v>86</v>
      </c>
      <c r="B16" s="27" t="s">
        <v>218</v>
      </c>
      <c r="C16" s="27" t="s">
        <v>189</v>
      </c>
      <c r="D16" s="27" t="s">
        <v>219</v>
      </c>
      <c r="E16" s="27" t="s">
        <v>89</v>
      </c>
      <c r="F16" s="47">
        <v>0.7445</v>
      </c>
      <c r="G16" s="28">
        <v>10.64</v>
      </c>
      <c r="H16" s="28">
        <f>F16*G16</f>
        <v>7.9215</v>
      </c>
      <c r="I16" s="27" t="s">
        <v>196</v>
      </c>
    </row>
    <row r="17" spans="4:8" x14ac:dyDescent="0.25">
      <c r="D17" s="48" t="s">
        <v>220</v>
      </c>
      <c r="H17" s="39">
        <f>SUM(H7:H16)</f>
        <v>78.5936</v>
      </c>
    </row>
    <row r="18" spans="1:9" x14ac:dyDescent="0.25">
      <c r="A18" s="33" t="s">
        <v>221</v>
      </c>
      <c r="B18" s="33"/>
      <c r="C18" s="33"/>
      <c r="D18" s="33"/>
      <c r="E18" s="33"/>
      <c r="F18" s="33"/>
      <c r="G18" s="33"/>
      <c r="H18" s="33"/>
      <c r="I18" s="33"/>
    </row>
    <row r="19" spans="1:9" x14ac:dyDescent="0.25">
      <c r="A19" s="23" t="s">
        <v>99</v>
      </c>
      <c r="B19" s="23" t="s">
        <v>222</v>
      </c>
      <c r="C19" s="23" t="s">
        <v>194</v>
      </c>
      <c r="D19" s="23" t="s">
        <v>223</v>
      </c>
      <c r="E19" s="23" t="s">
        <v>206</v>
      </c>
      <c r="F19" s="46">
        <v>3.126</v>
      </c>
      <c r="G19" s="24">
        <v>24.88</v>
      </c>
      <c r="H19" s="24">
        <f>F19*G19</f>
        <v>77.7749</v>
      </c>
      <c r="I19" s="23" t="s">
        <v>200</v>
      </c>
    </row>
    <row r="20" spans="1:9" x14ac:dyDescent="0.25">
      <c r="A20" s="27" t="s">
        <v>99</v>
      </c>
      <c r="B20" s="27" t="s">
        <v>224</v>
      </c>
      <c r="C20" s="27" t="s">
        <v>194</v>
      </c>
      <c r="D20" s="27" t="s">
        <v>225</v>
      </c>
      <c r="E20" s="27" t="s">
        <v>206</v>
      </c>
      <c r="F20" s="47">
        <v>0.966</v>
      </c>
      <c r="G20" s="28">
        <v>33.62</v>
      </c>
      <c r="H20" s="28">
        <f>F20*G20</f>
        <v>32.4769</v>
      </c>
      <c r="I20" s="27" t="s">
        <v>200</v>
      </c>
    </row>
    <row r="21" spans="4:8" x14ac:dyDescent="0.25">
      <c r="D21" s="48" t="s">
        <v>226</v>
      </c>
      <c r="H21" s="39">
        <f>SUM(H19:H20)</f>
        <v>110.2518</v>
      </c>
    </row>
    <row r="22" spans="1:9" x14ac:dyDescent="0.25">
      <c r="A22" s="33" t="s">
        <v>227</v>
      </c>
      <c r="B22" s="33"/>
      <c r="C22" s="33"/>
      <c r="D22" s="33"/>
      <c r="E22" s="33"/>
      <c r="F22" s="33"/>
      <c r="G22" s="33"/>
      <c r="H22" s="33"/>
      <c r="I22" s="33"/>
    </row>
    <row r="23" spans="1:9" x14ac:dyDescent="0.25">
      <c r="A23" s="23" t="s">
        <v>106</v>
      </c>
      <c r="B23" s="23" t="s">
        <v>228</v>
      </c>
      <c r="C23" s="23" t="s">
        <v>194</v>
      </c>
      <c r="D23" s="23" t="s">
        <v>229</v>
      </c>
      <c r="E23" s="23" t="s">
        <v>199</v>
      </c>
      <c r="F23" s="46">
        <v>0.7103</v>
      </c>
      <c r="G23" s="24">
        <v>0.5</v>
      </c>
      <c r="H23" s="24">
        <f>F23*G23</f>
        <v>0.3552</v>
      </c>
      <c r="I23" s="23" t="s">
        <v>230</v>
      </c>
    </row>
    <row r="24" spans="1:9" x14ac:dyDescent="0.25">
      <c r="A24" s="27" t="s">
        <v>106</v>
      </c>
      <c r="B24" s="27" t="s">
        <v>231</v>
      </c>
      <c r="C24" s="27" t="s">
        <v>194</v>
      </c>
      <c r="D24" s="27" t="s">
        <v>232</v>
      </c>
      <c r="E24" s="27" t="s">
        <v>203</v>
      </c>
      <c r="F24" s="47">
        <v>0.7534</v>
      </c>
      <c r="G24" s="28">
        <v>2.41</v>
      </c>
      <c r="H24" s="28">
        <f>F24*G24</f>
        <v>1.8157</v>
      </c>
      <c r="I24" s="27" t="s">
        <v>196</v>
      </c>
    </row>
    <row r="25" spans="1:9" x14ac:dyDescent="0.25">
      <c r="A25" s="23" t="s">
        <v>106</v>
      </c>
      <c r="B25" s="23" t="s">
        <v>233</v>
      </c>
      <c r="C25" s="23" t="s">
        <v>194</v>
      </c>
      <c r="D25" s="23" t="s">
        <v>234</v>
      </c>
      <c r="E25" s="23" t="s">
        <v>206</v>
      </c>
      <c r="F25" s="46">
        <v>1.4637</v>
      </c>
      <c r="G25" s="24">
        <v>32.16</v>
      </c>
      <c r="H25" s="24">
        <f>F25*G25</f>
        <v>47.0726</v>
      </c>
      <c r="I25" s="23" t="s">
        <v>200</v>
      </c>
    </row>
    <row r="26" spans="1:9" x14ac:dyDescent="0.25">
      <c r="A26" s="27" t="s">
        <v>106</v>
      </c>
      <c r="B26" s="27" t="s">
        <v>222</v>
      </c>
      <c r="C26" s="27" t="s">
        <v>194</v>
      </c>
      <c r="D26" s="27" t="s">
        <v>223</v>
      </c>
      <c r="E26" s="27" t="s">
        <v>206</v>
      </c>
      <c r="F26" s="47">
        <v>2.3117</v>
      </c>
      <c r="G26" s="28">
        <v>24.88</v>
      </c>
      <c r="H26" s="28">
        <f>F26*G26</f>
        <v>57.5151</v>
      </c>
      <c r="I26" s="27" t="s">
        <v>200</v>
      </c>
    </row>
    <row r="27" spans="1:9" x14ac:dyDescent="0.25">
      <c r="A27" s="23" t="s">
        <v>106</v>
      </c>
      <c r="B27" s="23" t="s">
        <v>235</v>
      </c>
      <c r="C27" s="23" t="s">
        <v>189</v>
      </c>
      <c r="D27" s="23" t="s">
        <v>236</v>
      </c>
      <c r="E27" s="23" t="s">
        <v>101</v>
      </c>
      <c r="F27" s="46">
        <v>0.5934</v>
      </c>
      <c r="G27" s="24">
        <v>128.47</v>
      </c>
      <c r="H27" s="24">
        <f>F27*G27</f>
        <v>76.2341</v>
      </c>
      <c r="I27" s="23" t="s">
        <v>196</v>
      </c>
    </row>
    <row r="28" spans="1:9" x14ac:dyDescent="0.25">
      <c r="A28" s="27" t="s">
        <v>106</v>
      </c>
      <c r="B28" s="27" t="s">
        <v>237</v>
      </c>
      <c r="C28" s="27" t="s">
        <v>189</v>
      </c>
      <c r="D28" s="27" t="s">
        <v>238</v>
      </c>
      <c r="E28" s="27" t="s">
        <v>116</v>
      </c>
      <c r="F28" s="47">
        <v>362.6579</v>
      </c>
      <c r="G28" s="28">
        <v>0.78</v>
      </c>
      <c r="H28" s="28">
        <f>F28*G28</f>
        <v>282.8732</v>
      </c>
      <c r="I28" s="27" t="s">
        <v>196</v>
      </c>
    </row>
    <row r="29" spans="1:9" x14ac:dyDescent="0.25">
      <c r="A29" s="23" t="s">
        <v>106</v>
      </c>
      <c r="B29" s="23" t="s">
        <v>239</v>
      </c>
      <c r="C29" s="23" t="s">
        <v>189</v>
      </c>
      <c r="D29" s="23" t="s">
        <v>240</v>
      </c>
      <c r="E29" s="23" t="s">
        <v>101</v>
      </c>
      <c r="F29" s="46">
        <v>0.7229</v>
      </c>
      <c r="G29" s="24">
        <v>168.2</v>
      </c>
      <c r="H29" s="24">
        <f>F29*G29</f>
        <v>121.5918</v>
      </c>
      <c r="I29" s="23" t="s">
        <v>196</v>
      </c>
    </row>
    <row r="30" spans="4:8" x14ac:dyDescent="0.25">
      <c r="D30" s="48" t="s">
        <v>241</v>
      </c>
      <c r="H30" s="39">
        <f>SUM(H23:H29)</f>
        <v>587.4577</v>
      </c>
    </row>
    <row r="31" spans="1:9" x14ac:dyDescent="0.25">
      <c r="A31" s="33" t="s">
        <v>242</v>
      </c>
      <c r="B31" s="33"/>
      <c r="C31" s="33"/>
      <c r="D31" s="33"/>
      <c r="E31" s="33"/>
      <c r="F31" s="33"/>
      <c r="G31" s="33"/>
      <c r="H31" s="33"/>
      <c r="I31" s="33"/>
    </row>
    <row r="32" spans="1:9" x14ac:dyDescent="0.25">
      <c r="A32" s="23" t="s">
        <v>114</v>
      </c>
      <c r="B32" s="23" t="s">
        <v>243</v>
      </c>
      <c r="C32" s="23" t="s">
        <v>194</v>
      </c>
      <c r="D32" s="23" t="s">
        <v>244</v>
      </c>
      <c r="E32" s="23" t="s">
        <v>116</v>
      </c>
      <c r="F32" s="46">
        <v>1</v>
      </c>
      <c r="G32" s="24">
        <v>8.65</v>
      </c>
      <c r="H32" s="24">
        <f>F32*G32</f>
        <v>8.65</v>
      </c>
      <c r="I32" s="23" t="s">
        <v>196</v>
      </c>
    </row>
    <row r="33" spans="1:9" x14ac:dyDescent="0.25">
      <c r="A33" s="27" t="s">
        <v>114</v>
      </c>
      <c r="B33" s="27" t="s">
        <v>245</v>
      </c>
      <c r="C33" s="27" t="s">
        <v>194</v>
      </c>
      <c r="D33" s="27" t="s">
        <v>246</v>
      </c>
      <c r="E33" s="27" t="s">
        <v>206</v>
      </c>
      <c r="F33" s="47">
        <v>0.1015</v>
      </c>
      <c r="G33" s="28">
        <v>33.37</v>
      </c>
      <c r="H33" s="28">
        <f>F33*G33</f>
        <v>3.3871</v>
      </c>
      <c r="I33" s="27" t="s">
        <v>200</v>
      </c>
    </row>
    <row r="34" spans="1:9" x14ac:dyDescent="0.25">
      <c r="A34" s="23" t="s">
        <v>114</v>
      </c>
      <c r="B34" s="23" t="s">
        <v>247</v>
      </c>
      <c r="C34" s="23" t="s">
        <v>194</v>
      </c>
      <c r="D34" s="23" t="s">
        <v>248</v>
      </c>
      <c r="E34" s="23" t="s">
        <v>206</v>
      </c>
      <c r="F34" s="46">
        <v>0.0166</v>
      </c>
      <c r="G34" s="24">
        <v>27.45</v>
      </c>
      <c r="H34" s="24">
        <f>F34*G34</f>
        <v>0.4557</v>
      </c>
      <c r="I34" s="23" t="s">
        <v>200</v>
      </c>
    </row>
    <row r="35" spans="1:9" x14ac:dyDescent="0.25">
      <c r="A35" s="27" t="s">
        <v>114</v>
      </c>
      <c r="B35" s="27" t="s">
        <v>249</v>
      </c>
      <c r="C35" s="27" t="s">
        <v>189</v>
      </c>
      <c r="D35" s="27" t="s">
        <v>250</v>
      </c>
      <c r="E35" s="27" t="s">
        <v>116</v>
      </c>
      <c r="F35" s="47">
        <v>0.025</v>
      </c>
      <c r="G35" s="28">
        <v>19.92</v>
      </c>
      <c r="H35" s="28">
        <f>F35*G35</f>
        <v>0.498</v>
      </c>
      <c r="I35" s="27" t="s">
        <v>196</v>
      </c>
    </row>
    <row r="36" spans="1:9" x14ac:dyDescent="0.25">
      <c r="A36" s="23" t="s">
        <v>114</v>
      </c>
      <c r="B36" s="23" t="s">
        <v>251</v>
      </c>
      <c r="C36" s="23" t="s">
        <v>189</v>
      </c>
      <c r="D36" s="23" t="s">
        <v>252</v>
      </c>
      <c r="E36" s="23" t="s">
        <v>95</v>
      </c>
      <c r="F36" s="46">
        <v>0.743</v>
      </c>
      <c r="G36" s="24">
        <v>0.22</v>
      </c>
      <c r="H36" s="24">
        <f>F36*G36</f>
        <v>0.1635</v>
      </c>
      <c r="I36" s="23" t="s">
        <v>196</v>
      </c>
    </row>
    <row r="37" spans="4:8" x14ac:dyDescent="0.25">
      <c r="D37" s="48" t="s">
        <v>253</v>
      </c>
      <c r="H37" s="39">
        <f>SUM(H32:H36)</f>
        <v>13.154300000000001</v>
      </c>
    </row>
    <row r="38" spans="1:9" x14ac:dyDescent="0.25">
      <c r="A38" s="33" t="s">
        <v>254</v>
      </c>
      <c r="B38" s="33"/>
      <c r="C38" s="33"/>
      <c r="D38" s="33"/>
      <c r="E38" s="33"/>
      <c r="F38" s="33"/>
      <c r="G38" s="33"/>
      <c r="H38" s="33"/>
      <c r="I38" s="33"/>
    </row>
    <row r="39" spans="1:9" x14ac:dyDescent="0.25">
      <c r="A39" s="23" t="s">
        <v>123</v>
      </c>
      <c r="B39" s="23" t="s">
        <v>222</v>
      </c>
      <c r="C39" s="23" t="s">
        <v>194</v>
      </c>
      <c r="D39" s="23" t="s">
        <v>223</v>
      </c>
      <c r="E39" s="23" t="s">
        <v>206</v>
      </c>
      <c r="F39" s="46">
        <v>0.69</v>
      </c>
      <c r="G39" s="24">
        <v>24.88</v>
      </c>
      <c r="H39" s="24">
        <f>F39*G39</f>
        <v>17.1672</v>
      </c>
      <c r="I39" s="23" t="s">
        <v>200</v>
      </c>
    </row>
    <row r="40" spans="1:9" x14ac:dyDescent="0.25">
      <c r="A40" s="27" t="s">
        <v>123</v>
      </c>
      <c r="B40" s="27" t="s">
        <v>224</v>
      </c>
      <c r="C40" s="27" t="s">
        <v>194</v>
      </c>
      <c r="D40" s="27" t="s">
        <v>225</v>
      </c>
      <c r="E40" s="27" t="s">
        <v>206</v>
      </c>
      <c r="F40" s="47">
        <v>1.38</v>
      </c>
      <c r="G40" s="28">
        <v>33.62</v>
      </c>
      <c r="H40" s="28">
        <f>F40*G40</f>
        <v>46.3956</v>
      </c>
      <c r="I40" s="27" t="s">
        <v>200</v>
      </c>
    </row>
    <row r="41" spans="1:9" x14ac:dyDescent="0.25">
      <c r="A41" s="23" t="s">
        <v>123</v>
      </c>
      <c r="B41" s="23" t="s">
        <v>255</v>
      </c>
      <c r="C41" s="23" t="s">
        <v>194</v>
      </c>
      <c r="D41" s="23" t="s">
        <v>256</v>
      </c>
      <c r="E41" s="23" t="s">
        <v>101</v>
      </c>
      <c r="F41" s="46">
        <v>0.0104</v>
      </c>
      <c r="G41" s="24">
        <v>837.1</v>
      </c>
      <c r="H41" s="24">
        <f>F41*G41</f>
        <v>8.7058</v>
      </c>
      <c r="I41" s="23" t="s">
        <v>196</v>
      </c>
    </row>
    <row r="42" spans="1:9" x14ac:dyDescent="0.25">
      <c r="A42" s="27" t="s">
        <v>123</v>
      </c>
      <c r="B42" s="27" t="s">
        <v>257</v>
      </c>
      <c r="C42" s="27" t="s">
        <v>189</v>
      </c>
      <c r="D42" s="27" t="s">
        <v>258</v>
      </c>
      <c r="E42" s="27" t="s">
        <v>95</v>
      </c>
      <c r="F42" s="47">
        <v>30.19</v>
      </c>
      <c r="G42" s="28">
        <v>1.04</v>
      </c>
      <c r="H42" s="28">
        <f>F42*G42</f>
        <v>31.3976</v>
      </c>
      <c r="I42" s="27" t="s">
        <v>196</v>
      </c>
    </row>
    <row r="43" spans="1:9" x14ac:dyDescent="0.25">
      <c r="A43" s="23" t="s">
        <v>123</v>
      </c>
      <c r="B43" s="23" t="s">
        <v>259</v>
      </c>
      <c r="C43" s="23" t="s">
        <v>189</v>
      </c>
      <c r="D43" s="23" t="s">
        <v>260</v>
      </c>
      <c r="E43" s="23" t="s">
        <v>261</v>
      </c>
      <c r="F43" s="46">
        <v>0.0139</v>
      </c>
      <c r="G43" s="24">
        <v>50.2</v>
      </c>
      <c r="H43" s="24">
        <f>F43*G43</f>
        <v>0.6978</v>
      </c>
      <c r="I43" s="23" t="s">
        <v>196</v>
      </c>
    </row>
    <row r="44" spans="1:9" x14ac:dyDescent="0.25">
      <c r="A44" s="27" t="s">
        <v>123</v>
      </c>
      <c r="B44" s="27" t="s">
        <v>262</v>
      </c>
      <c r="C44" s="27" t="s">
        <v>189</v>
      </c>
      <c r="D44" s="27" t="s">
        <v>263</v>
      </c>
      <c r="E44" s="27" t="s">
        <v>89</v>
      </c>
      <c r="F44" s="47">
        <v>0.58</v>
      </c>
      <c r="G44" s="28">
        <v>3.03</v>
      </c>
      <c r="H44" s="28">
        <f>F44*G44</f>
        <v>1.7574</v>
      </c>
      <c r="I44" s="27" t="s">
        <v>196</v>
      </c>
    </row>
    <row r="45" spans="4:8" x14ac:dyDescent="0.25">
      <c r="D45" s="48" t="s">
        <v>264</v>
      </c>
      <c r="H45" s="39">
        <f>SUM(H39:H44)</f>
        <v>106.12140000000001</v>
      </c>
    </row>
    <row r="46" spans="1:9" x14ac:dyDescent="0.25">
      <c r="A46" s="33" t="s">
        <v>265</v>
      </c>
      <c r="B46" s="33"/>
      <c r="C46" s="33"/>
      <c r="D46" s="33"/>
      <c r="E46" s="33"/>
      <c r="F46" s="33"/>
      <c r="G46" s="33"/>
      <c r="H46" s="33"/>
      <c r="I46" s="33"/>
    </row>
    <row r="47" spans="1:9" x14ac:dyDescent="0.25">
      <c r="A47" s="23" t="s">
        <v>127</v>
      </c>
      <c r="B47" s="23" t="s">
        <v>222</v>
      </c>
      <c r="C47" s="23" t="s">
        <v>194</v>
      </c>
      <c r="D47" s="23" t="s">
        <v>223</v>
      </c>
      <c r="E47" s="23" t="s">
        <v>206</v>
      </c>
      <c r="F47" s="46">
        <v>0.0575</v>
      </c>
      <c r="G47" s="24">
        <v>24.88</v>
      </c>
      <c r="H47" s="24">
        <f>F47*G47</f>
        <v>1.4306</v>
      </c>
      <c r="I47" s="23" t="s">
        <v>200</v>
      </c>
    </row>
    <row r="48" spans="1:9" x14ac:dyDescent="0.25">
      <c r="A48" s="27" t="s">
        <v>127</v>
      </c>
      <c r="B48" s="27" t="s">
        <v>224</v>
      </c>
      <c r="C48" s="27" t="s">
        <v>194</v>
      </c>
      <c r="D48" s="27" t="s">
        <v>225</v>
      </c>
      <c r="E48" s="27" t="s">
        <v>206</v>
      </c>
      <c r="F48" s="47">
        <v>0.1724</v>
      </c>
      <c r="G48" s="28">
        <v>33.62</v>
      </c>
      <c r="H48" s="28">
        <f>F48*G48</f>
        <v>5.7961</v>
      </c>
      <c r="I48" s="27" t="s">
        <v>200</v>
      </c>
    </row>
    <row r="49" spans="1:9" x14ac:dyDescent="0.25">
      <c r="A49" s="23" t="s">
        <v>127</v>
      </c>
      <c r="B49" s="23" t="s">
        <v>266</v>
      </c>
      <c r="C49" s="23" t="s">
        <v>194</v>
      </c>
      <c r="D49" s="23" t="s">
        <v>267</v>
      </c>
      <c r="E49" s="23" t="s">
        <v>101</v>
      </c>
      <c r="F49" s="46">
        <v>0.0037</v>
      </c>
      <c r="G49" s="24">
        <v>637.54</v>
      </c>
      <c r="H49" s="24">
        <f>F49*G49</f>
        <v>2.3589</v>
      </c>
      <c r="I49" s="23" t="s">
        <v>196</v>
      </c>
    </row>
    <row r="50" spans="4:8" x14ac:dyDescent="0.25">
      <c r="D50" s="48" t="s">
        <v>268</v>
      </c>
      <c r="H50" s="39">
        <f>SUM(H47:H49)</f>
        <v>9.5856</v>
      </c>
    </row>
    <row r="51" spans="1:9" x14ac:dyDescent="0.25">
      <c r="A51" s="33" t="s">
        <v>269</v>
      </c>
      <c r="B51" s="33"/>
      <c r="C51" s="33"/>
      <c r="D51" s="33"/>
      <c r="E51" s="33"/>
      <c r="F51" s="33"/>
      <c r="G51" s="33"/>
      <c r="H51" s="33"/>
      <c r="I51" s="33"/>
    </row>
    <row r="52" spans="1:9" x14ac:dyDescent="0.25">
      <c r="A52" s="23" t="s">
        <v>130</v>
      </c>
      <c r="B52" s="23" t="s">
        <v>222</v>
      </c>
      <c r="C52" s="23" t="s">
        <v>194</v>
      </c>
      <c r="D52" s="23" t="s">
        <v>223</v>
      </c>
      <c r="E52" s="23" t="s">
        <v>206</v>
      </c>
      <c r="F52" s="46">
        <v>0.679</v>
      </c>
      <c r="G52" s="24">
        <v>24.88</v>
      </c>
      <c r="H52" s="24">
        <f>F52*G52</f>
        <v>16.8935</v>
      </c>
      <c r="I52" s="23" t="s">
        <v>200</v>
      </c>
    </row>
    <row r="53" spans="1:9" x14ac:dyDescent="0.25">
      <c r="A53" s="27" t="s">
        <v>130</v>
      </c>
      <c r="B53" s="27" t="s">
        <v>224</v>
      </c>
      <c r="C53" s="27" t="s">
        <v>194</v>
      </c>
      <c r="D53" s="27" t="s">
        <v>225</v>
      </c>
      <c r="E53" s="27" t="s">
        <v>206</v>
      </c>
      <c r="F53" s="47">
        <v>0.679</v>
      </c>
      <c r="G53" s="28">
        <v>33.62</v>
      </c>
      <c r="H53" s="28">
        <f>F53*G53</f>
        <v>22.828</v>
      </c>
      <c r="I53" s="27" t="s">
        <v>200</v>
      </c>
    </row>
    <row r="54" spans="1:9" x14ac:dyDescent="0.25">
      <c r="A54" s="23" t="s">
        <v>130</v>
      </c>
      <c r="B54" s="23" t="s">
        <v>270</v>
      </c>
      <c r="C54" s="23" t="s">
        <v>194</v>
      </c>
      <c r="D54" s="23" t="s">
        <v>271</v>
      </c>
      <c r="E54" s="23" t="s">
        <v>101</v>
      </c>
      <c r="F54" s="46">
        <v>0.0314</v>
      </c>
      <c r="G54" s="24">
        <v>719.69</v>
      </c>
      <c r="H54" s="24">
        <f>F54*G54</f>
        <v>22.5983</v>
      </c>
      <c r="I54" s="23" t="s">
        <v>196</v>
      </c>
    </row>
    <row r="55" spans="1:9" x14ac:dyDescent="0.25">
      <c r="A55" s="27" t="s">
        <v>130</v>
      </c>
      <c r="B55" s="27" t="s">
        <v>272</v>
      </c>
      <c r="C55" s="27" t="s">
        <v>189</v>
      </c>
      <c r="D55" s="27" t="s">
        <v>273</v>
      </c>
      <c r="E55" s="27" t="s">
        <v>119</v>
      </c>
      <c r="F55" s="47">
        <v>0.1388</v>
      </c>
      <c r="G55" s="28">
        <v>17.24</v>
      </c>
      <c r="H55" s="28">
        <f>F55*G55</f>
        <v>2.3929</v>
      </c>
      <c r="I55" s="27" t="s">
        <v>196</v>
      </c>
    </row>
    <row r="56" spans="4:8" x14ac:dyDescent="0.25">
      <c r="D56" s="48" t="s">
        <v>274</v>
      </c>
      <c r="H56" s="39">
        <f>SUM(H52:H55)</f>
        <v>64.7127</v>
      </c>
    </row>
    <row r="57" spans="1:9" x14ac:dyDescent="0.25">
      <c r="A57" s="33" t="s">
        <v>275</v>
      </c>
      <c r="B57" s="33"/>
      <c r="C57" s="33"/>
      <c r="D57" s="33"/>
      <c r="E57" s="33"/>
      <c r="F57" s="33"/>
      <c r="G57" s="33"/>
      <c r="H57" s="33"/>
      <c r="I57" s="33"/>
    </row>
    <row r="58" spans="1:9" x14ac:dyDescent="0.25">
      <c r="A58" s="23" t="s">
        <v>142</v>
      </c>
      <c r="B58" s="23" t="s">
        <v>222</v>
      </c>
      <c r="C58" s="23" t="s">
        <v>194</v>
      </c>
      <c r="D58" s="23" t="s">
        <v>223</v>
      </c>
      <c r="E58" s="23" t="s">
        <v>206</v>
      </c>
      <c r="F58" s="46">
        <v>0.1674</v>
      </c>
      <c r="G58" s="24">
        <v>24.88</v>
      </c>
      <c r="H58" s="24">
        <f>F58*G58</f>
        <v>4.1649</v>
      </c>
      <c r="I58" s="23" t="s">
        <v>200</v>
      </c>
    </row>
    <row r="59" spans="1:9" x14ac:dyDescent="0.25">
      <c r="A59" s="27" t="s">
        <v>142</v>
      </c>
      <c r="B59" s="27" t="s">
        <v>276</v>
      </c>
      <c r="C59" s="27" t="s">
        <v>194</v>
      </c>
      <c r="D59" s="27" t="s">
        <v>277</v>
      </c>
      <c r="E59" s="27" t="s">
        <v>206</v>
      </c>
      <c r="F59" s="47">
        <v>0.5203</v>
      </c>
      <c r="G59" s="28">
        <v>35.65</v>
      </c>
      <c r="H59" s="28">
        <f>F59*G59</f>
        <v>18.5487</v>
      </c>
      <c r="I59" s="27" t="s">
        <v>200</v>
      </c>
    </row>
    <row r="60" spans="1:9" x14ac:dyDescent="0.25">
      <c r="A60" s="23" t="s">
        <v>142</v>
      </c>
      <c r="B60" s="23" t="s">
        <v>278</v>
      </c>
      <c r="C60" s="23" t="s">
        <v>189</v>
      </c>
      <c r="D60" s="23" t="s">
        <v>279</v>
      </c>
      <c r="E60" s="23" t="s">
        <v>119</v>
      </c>
      <c r="F60" s="46">
        <v>1.069</v>
      </c>
      <c r="G60" s="24">
        <v>68.64</v>
      </c>
      <c r="H60" s="24">
        <f>F60*G60</f>
        <v>73.3762</v>
      </c>
      <c r="I60" s="23" t="s">
        <v>196</v>
      </c>
    </row>
    <row r="61" spans="1:9" x14ac:dyDescent="0.25">
      <c r="A61" s="27" t="s">
        <v>142</v>
      </c>
      <c r="B61" s="27" t="s">
        <v>280</v>
      </c>
      <c r="C61" s="27" t="s">
        <v>189</v>
      </c>
      <c r="D61" s="27" t="s">
        <v>281</v>
      </c>
      <c r="E61" s="27" t="s">
        <v>116</v>
      </c>
      <c r="F61" s="47">
        <v>9.13</v>
      </c>
      <c r="G61" s="28">
        <v>2.12</v>
      </c>
      <c r="H61" s="28">
        <f>F61*G61</f>
        <v>19.3556</v>
      </c>
      <c r="I61" s="27" t="s">
        <v>196</v>
      </c>
    </row>
    <row r="62" spans="1:9" x14ac:dyDescent="0.25">
      <c r="A62" s="23" t="s">
        <v>142</v>
      </c>
      <c r="B62" s="23" t="s">
        <v>282</v>
      </c>
      <c r="C62" s="23" t="s">
        <v>189</v>
      </c>
      <c r="D62" s="23" t="s">
        <v>283</v>
      </c>
      <c r="E62" s="23" t="s">
        <v>116</v>
      </c>
      <c r="F62" s="46">
        <v>0.141</v>
      </c>
      <c r="G62" s="24">
        <v>4.05</v>
      </c>
      <c r="H62" s="24">
        <f>F62*G62</f>
        <v>0.5711</v>
      </c>
      <c r="I62" s="23" t="s">
        <v>196</v>
      </c>
    </row>
    <row r="63" spans="4:8" x14ac:dyDescent="0.25">
      <c r="D63" s="48" t="s">
        <v>284</v>
      </c>
      <c r="H63" s="39">
        <f>SUM(H58:H62)</f>
        <v>116.0165</v>
      </c>
    </row>
    <row r="64" spans="1:9" x14ac:dyDescent="0.25">
      <c r="A64" s="33" t="s">
        <v>285</v>
      </c>
      <c r="B64" s="33"/>
      <c r="C64" s="33"/>
      <c r="D64" s="33"/>
      <c r="E64" s="33"/>
      <c r="F64" s="33"/>
      <c r="G64" s="33"/>
      <c r="H64" s="33"/>
      <c r="I64" s="33"/>
    </row>
    <row r="65" spans="1:9" x14ac:dyDescent="0.25">
      <c r="A65" s="23" t="s">
        <v>146</v>
      </c>
      <c r="B65" s="23" t="s">
        <v>222</v>
      </c>
      <c r="C65" s="23" t="s">
        <v>194</v>
      </c>
      <c r="D65" s="23" t="s">
        <v>223</v>
      </c>
      <c r="E65" s="23" t="s">
        <v>206</v>
      </c>
      <c r="F65" s="46">
        <v>0.0544</v>
      </c>
      <c r="G65" s="24">
        <v>24.88</v>
      </c>
      <c r="H65" s="24">
        <f>F65*G65</f>
        <v>1.3535</v>
      </c>
      <c r="I65" s="23" t="s">
        <v>200</v>
      </c>
    </row>
    <row r="66" spans="1:9" x14ac:dyDescent="0.25">
      <c r="A66" s="27" t="s">
        <v>146</v>
      </c>
      <c r="B66" s="27" t="s">
        <v>286</v>
      </c>
      <c r="C66" s="27" t="s">
        <v>194</v>
      </c>
      <c r="D66" s="27" t="s">
        <v>287</v>
      </c>
      <c r="E66" s="27" t="s">
        <v>206</v>
      </c>
      <c r="F66" s="47">
        <v>0.1631</v>
      </c>
      <c r="G66" s="28">
        <v>35.36</v>
      </c>
      <c r="H66" s="28">
        <f>F66*G66</f>
        <v>5.7672</v>
      </c>
      <c r="I66" s="27" t="s">
        <v>200</v>
      </c>
    </row>
    <row r="67" spans="1:9" x14ac:dyDescent="0.25">
      <c r="A67" s="23" t="s">
        <v>146</v>
      </c>
      <c r="B67" s="23" t="s">
        <v>211</v>
      </c>
      <c r="C67" s="23" t="s">
        <v>189</v>
      </c>
      <c r="D67" s="23" t="s">
        <v>212</v>
      </c>
      <c r="E67" s="23" t="s">
        <v>213</v>
      </c>
      <c r="F67" s="46">
        <v>0.2285</v>
      </c>
      <c r="G67" s="24">
        <v>34.15</v>
      </c>
      <c r="H67" s="24">
        <f>F67*G67</f>
        <v>7.8033</v>
      </c>
      <c r="I67" s="23" t="s">
        <v>196</v>
      </c>
    </row>
    <row r="68" spans="4:8" x14ac:dyDescent="0.25">
      <c r="D68" s="48" t="s">
        <v>288</v>
      </c>
      <c r="H68" s="39">
        <f>SUM(H65:H67)</f>
        <v>14.924</v>
      </c>
    </row>
  </sheetData>
  <sheetProtection sheet="1" sort="0" autoFilter="0" algorithmName="SHA-512" hashValue="VaJrPYhRauCbxsVVfMrIyDwBDcKpvmO9JXt6Imto9GnQfFZAlPAEteRa2nKtC+sje8YiDddMpnJK66CuEIEkFw==" saltValue="xAhiUsZEkvn8TYMuzeuVCw==" spinCount="100000"/>
  <autoFilter ref="A5:I68"/>
  <mergeCells count="13">
    <mergeCell ref="A1:I1"/>
    <mergeCell ref="A2:I2"/>
    <mergeCell ref="A3:I3"/>
    <mergeCell ref="A4:I4"/>
    <mergeCell ref="A6:I6"/>
    <mergeCell ref="A18:I18"/>
    <mergeCell ref="A22:I22"/>
    <mergeCell ref="A31:I31"/>
    <mergeCell ref="A38:I38"/>
    <mergeCell ref="A46:I46"/>
    <mergeCell ref="A51:I51"/>
    <mergeCell ref="A57:I57"/>
    <mergeCell ref="A64:I64"/>
  </mergeCells>
  <pageMargins left="0.4" right="0.4" top="0.55" bottom="0.55" header="0.2" footer="0.25"/>
  <pageSetup paperSize="9" orientation="landscape" fitToWidth="1" fitToHeight="0"/>
  <headerFooter>
    <oddFooter>&amp;L&amp;8OrçaPRO — ORC-2026-4384&amp;C&amp;8Construtora Modelo Ltda&amp;R&amp;8Pág. &amp;P de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59E0B"/>
    <pageSetUpPr fitToPage="1"/>
  </sheetPr>
  <dimension ref="A1:H25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48" customWidth="1"/>
    <col min="4" max="4" width="7" customWidth="1"/>
    <col min="5" max="5" width="10" customWidth="1"/>
    <col min="6" max="6" width="15" customWidth="1"/>
    <col min="8" max="8" width="10" customWidth="1"/>
  </cols>
  <sheetData>
    <row r="1" spans="1:8" x14ac:dyDescent="0.25">
      <c r="A1" s="19" t="s">
        <v>0</v>
      </c>
      <c r="B1" s="19"/>
      <c r="C1" s="19"/>
      <c r="D1" s="19"/>
      <c r="E1" s="19"/>
      <c r="F1" s="19"/>
      <c r="G1" s="19"/>
      <c r="H1" s="19"/>
    </row>
    <row r="2" spans="1:8" x14ac:dyDescent="0.25">
      <c r="A2" s="20" t="s">
        <v>289</v>
      </c>
      <c r="B2" s="20"/>
      <c r="C2" s="20"/>
      <c r="D2" s="20"/>
      <c r="E2" s="20"/>
      <c r="F2" s="20"/>
      <c r="G2" s="20"/>
      <c r="H2" s="20"/>
    </row>
    <row r="3" spans="1:8" x14ac:dyDescent="0.25">
      <c r="A3" s="21" t="s">
        <v>51</v>
      </c>
      <c r="B3" s="21"/>
      <c r="C3" s="21"/>
      <c r="D3" s="21"/>
      <c r="E3" s="21"/>
      <c r="F3" s="21"/>
      <c r="G3" s="21"/>
      <c r="H3" s="21"/>
    </row>
    <row r="4" spans="1:4" x14ac:dyDescent="0.25">
      <c r="A4" s="49" t="s">
        <v>290</v>
      </c>
      <c r="B4" s="49" t="s">
        <v>291</v>
      </c>
      <c r="C4" s="49" t="s">
        <v>292</v>
      </c>
      <c r="D4" s="49" t="s">
        <v>293</v>
      </c>
    </row>
    <row r="5" spans="1:4" x14ac:dyDescent="0.25">
      <c r="A5" s="50" t="s">
        <v>294</v>
      </c>
      <c r="B5">
        <f>COUNTIF($A$9:$A$23,"A")</f>
        <v>7</v>
      </c>
      <c r="C5" s="41">
        <f>SUMIFS($F$9:$F$23,$A$9:$A$23,"A")</f>
        <v>210762.04</v>
      </c>
      <c r="D5" s="51">
        <f>C5/SUM($F$9:$F$23)</f>
        <v>0.7515804575567266</v>
      </c>
    </row>
    <row r="6" spans="1:4" x14ac:dyDescent="0.25">
      <c r="A6" s="52" t="s">
        <v>295</v>
      </c>
      <c r="B6">
        <f>COUNTIF($A$9:$A$23,"B")</f>
        <v>4</v>
      </c>
      <c r="C6" s="41">
        <f>SUMIFS($F$9:$F$23,$A$9:$A$23,"B")</f>
        <v>51098.4</v>
      </c>
      <c r="D6" s="51">
        <f>C6/SUM($F$9:$F$23)</f>
        <v>0.18221762729387436</v>
      </c>
    </row>
    <row r="7" spans="1:4" x14ac:dyDescent="0.25">
      <c r="A7" s="53" t="s">
        <v>296</v>
      </c>
      <c r="B7">
        <f>COUNTIF($A$9:$A$23,"C")</f>
        <v>4</v>
      </c>
      <c r="C7" s="41">
        <f>SUMIFS($F$9:$F$23,$A$9:$A$23,"C")</f>
        <v>18564.68</v>
      </c>
      <c r="D7" s="51">
        <f>C7/SUM($F$9:$F$23)</f>
        <v>0.06620191514939887</v>
      </c>
    </row>
    <row r="8" spans="1:8" x14ac:dyDescent="0.25">
      <c r="A8" s="22" t="s">
        <v>290</v>
      </c>
      <c r="B8" s="22" t="s">
        <v>74</v>
      </c>
      <c r="C8" s="22" t="s">
        <v>76</v>
      </c>
      <c r="D8" s="22" t="s">
        <v>77</v>
      </c>
      <c r="E8" s="22" t="s">
        <v>78</v>
      </c>
      <c r="F8" s="22" t="s">
        <v>80</v>
      </c>
      <c r="G8" s="22" t="s">
        <v>297</v>
      </c>
      <c r="H8" s="22" t="s">
        <v>298</v>
      </c>
    </row>
    <row r="9" spans="1:8" x14ac:dyDescent="0.25">
      <c r="A9" s="54" t="str">
        <f>IF(H9&lt;=0.8,"A",IF(H9&lt;=0.95,"B","C"))</f>
        <v>A</v>
      </c>
      <c r="B9" s="23" t="s">
        <v>130</v>
      </c>
      <c r="C9" s="23" t="s">
        <v>131</v>
      </c>
      <c r="D9" s="23" t="s">
        <v>119</v>
      </c>
      <c r="E9" s="55">
        <v>780</v>
      </c>
      <c r="F9" s="24">
        <f>SUMIFS('Analítica'!$H$7:$H$1006,'Analítica'!$B$7:$B$1006,B9)</f>
        <v>50458.2</v>
      </c>
      <c r="G9" s="26">
        <f>F9/SUM($F$9:$F$23)</f>
        <v>0.17993466491161703</v>
      </c>
      <c r="H9" s="26">
        <f>G9</f>
        <v>0.17993466491161703</v>
      </c>
    </row>
    <row r="10" spans="1:8" x14ac:dyDescent="0.25">
      <c r="A10" s="56" t="str">
        <f>IF(H10&lt;=0.8,"A",IF(H10&lt;=0.95,"B","C"))</f>
        <v>A</v>
      </c>
      <c r="B10" s="27" t="s">
        <v>123</v>
      </c>
      <c r="C10" s="27" t="s">
        <v>124</v>
      </c>
      <c r="D10" s="27" t="s">
        <v>119</v>
      </c>
      <c r="E10" s="57">
        <v>420</v>
      </c>
      <c r="F10" s="28">
        <f>SUMIFS('Analítica'!$H$7:$H$1006,'Analítica'!$B$7:$B$1006,B10)</f>
        <v>44553.6</v>
      </c>
      <c r="G10" s="30">
        <f>F10/SUM($F$9:$F$23)</f>
        <v>0.15887877662314984</v>
      </c>
      <c r="H10" s="30">
        <f>H9+G10</f>
        <v>0.33881344153476683</v>
      </c>
    </row>
    <row r="11" spans="1:8" x14ac:dyDescent="0.25">
      <c r="A11" s="54" t="str">
        <f>IF(H11&lt;=0.8,"A",IF(H11&lt;=0.95,"B","C"))</f>
        <v>A</v>
      </c>
      <c r="B11" s="23" t="s">
        <v>114</v>
      </c>
      <c r="C11" s="23" t="s">
        <v>115</v>
      </c>
      <c r="D11" s="23" t="s">
        <v>116</v>
      </c>
      <c r="E11" s="55">
        <v>2800</v>
      </c>
      <c r="F11" s="24">
        <f>SUMIFS('Analítica'!$H$7:$H$1006,'Analítica'!$B$7:$B$1006,B11)</f>
        <v>36764</v>
      </c>
      <c r="G11" s="26">
        <f>F11/SUM($F$9:$F$23)</f>
        <v>0.13110095129851418</v>
      </c>
      <c r="H11" s="26">
        <f>H10+G11</f>
        <v>0.46991439283328096</v>
      </c>
    </row>
    <row r="12" spans="1:8" x14ac:dyDescent="0.25">
      <c r="A12" s="56" t="str">
        <f>IF(H12&lt;=0.8,"A",IF(H12&lt;=0.95,"B","C"))</f>
        <v>A</v>
      </c>
      <c r="B12" s="27" t="s">
        <v>92</v>
      </c>
      <c r="C12" s="27" t="s">
        <v>111</v>
      </c>
      <c r="D12" s="27" t="s">
        <v>101</v>
      </c>
      <c r="E12" s="57">
        <v>34</v>
      </c>
      <c r="F12" s="28">
        <v>22440</v>
      </c>
      <c r="G12" s="30">
        <f>F12/SUM($F$9:$F$23)</f>
        <v>0.08002136185231906</v>
      </c>
      <c r="H12" s="30">
        <f>H11+G12</f>
        <v>0.5499357546856001</v>
      </c>
    </row>
    <row r="13" spans="1:8" x14ac:dyDescent="0.25">
      <c r="A13" s="54" t="str">
        <f>IF(H13&lt;=0.8,"A",IF(H13&lt;=0.95,"B","C"))</f>
        <v>A</v>
      </c>
      <c r="B13" s="23" t="s">
        <v>142</v>
      </c>
      <c r="C13" s="23" t="s">
        <v>143</v>
      </c>
      <c r="D13" s="23" t="s">
        <v>119</v>
      </c>
      <c r="E13" s="55">
        <v>180</v>
      </c>
      <c r="F13" s="24">
        <f>SUMIFS('Analítica'!$H$7:$H$1006,'Analítica'!$B$7:$B$1006,B13)</f>
        <v>20878.2</v>
      </c>
      <c r="G13" s="26">
        <f>F13/SUM($F$9:$F$23)</f>
        <v>0.07445196065174188</v>
      </c>
      <c r="H13" s="26">
        <f>H12+G13</f>
        <v>0.6243877153373419</v>
      </c>
    </row>
    <row r="14" spans="1:8" x14ac:dyDescent="0.25">
      <c r="A14" s="56" t="str">
        <f>IF(H14&lt;=0.8,"A",IF(H14&lt;=0.95,"B","C"))</f>
        <v>A</v>
      </c>
      <c r="B14" s="27" t="s">
        <v>92</v>
      </c>
      <c r="C14" s="27" t="s">
        <v>118</v>
      </c>
      <c r="D14" s="27" t="s">
        <v>119</v>
      </c>
      <c r="E14" s="57">
        <v>310</v>
      </c>
      <c r="F14" s="28">
        <v>19220</v>
      </c>
      <c r="G14" s="30">
        <f>F14/SUM($F$9:$F$23)</f>
        <v>0.06853879566851927</v>
      </c>
      <c r="H14" s="30">
        <f>H13+G14</f>
        <v>0.6929265110058612</v>
      </c>
    </row>
    <row r="15" spans="1:8" x14ac:dyDescent="0.25">
      <c r="A15" s="54" t="str">
        <f>IF(H15&lt;=0.8,"A",IF(H15&lt;=0.95,"B","C"))</f>
        <v>A</v>
      </c>
      <c r="B15" s="23" t="s">
        <v>106</v>
      </c>
      <c r="C15" s="23" t="s">
        <v>107</v>
      </c>
      <c r="D15" s="23" t="s">
        <v>101</v>
      </c>
      <c r="E15" s="55">
        <v>28</v>
      </c>
      <c r="F15" s="24">
        <f>SUMIFS('Analítica'!$H$7:$H$1006,'Analítica'!$B$7:$B$1006,B15)</f>
        <v>16448.04</v>
      </c>
      <c r="G15" s="26">
        <f>F15/SUM($F$9:$F$23)</f>
        <v>0.05865394655086534</v>
      </c>
      <c r="H15" s="26">
        <f>H14+G15</f>
        <v>0.7515804575567266</v>
      </c>
    </row>
    <row r="16" spans="1:8" x14ac:dyDescent="0.25">
      <c r="A16" s="58" t="str">
        <f>IF(H16&lt;=0.8,"A",IF(H16&lt;=0.95,"B","C"))</f>
        <v>B</v>
      </c>
      <c r="B16" s="27" t="s">
        <v>86</v>
      </c>
      <c r="C16" s="27" t="s">
        <v>88</v>
      </c>
      <c r="D16" s="27" t="s">
        <v>89</v>
      </c>
      <c r="E16" s="57">
        <v>180</v>
      </c>
      <c r="F16" s="28">
        <f>SUMIFS('Analítica'!$H$7:$H$1006,'Analítica'!$B$7:$B$1006,B16)</f>
        <v>14137.2</v>
      </c>
      <c r="G16" s="30">
        <f>F16/SUM($F$9:$F$23)</f>
        <v>0.05041345796696102</v>
      </c>
      <c r="H16" s="30">
        <f>H15+G16</f>
        <v>0.8019939155236877</v>
      </c>
    </row>
    <row r="17" spans="1:8" x14ac:dyDescent="0.25">
      <c r="A17" s="59" t="str">
        <f>IF(H17&lt;=0.8,"A",IF(H17&lt;=0.95,"B","C"))</f>
        <v>B</v>
      </c>
      <c r="B17" s="23" t="s">
        <v>146</v>
      </c>
      <c r="C17" s="23" t="s">
        <v>147</v>
      </c>
      <c r="D17" s="23" t="s">
        <v>119</v>
      </c>
      <c r="E17" s="55">
        <v>920</v>
      </c>
      <c r="F17" s="24">
        <f>SUMIFS('Analítica'!$H$7:$H$1006,'Analítica'!$B$7:$B$1006,B17)</f>
        <v>13717.2</v>
      </c>
      <c r="G17" s="26">
        <f>F17/SUM($F$9:$F$23)</f>
        <v>0.04891573194298713</v>
      </c>
      <c r="H17" s="26">
        <f>H16+G17</f>
        <v>0.8509096474666749</v>
      </c>
    </row>
    <row r="18" spans="1:8" x14ac:dyDescent="0.25">
      <c r="A18" s="58" t="str">
        <f>IF(H18&lt;=0.8,"A",IF(H18&lt;=0.95,"B","C"))</f>
        <v>B</v>
      </c>
      <c r="B18" s="27" t="s">
        <v>92</v>
      </c>
      <c r="C18" s="27" t="s">
        <v>135</v>
      </c>
      <c r="D18" s="27" t="s">
        <v>95</v>
      </c>
      <c r="E18" s="57">
        <v>96</v>
      </c>
      <c r="F18" s="28">
        <v>13632</v>
      </c>
      <c r="G18" s="30">
        <f>F18/SUM($F$9:$F$23)</f>
        <v>0.04861190752098099</v>
      </c>
      <c r="H18" s="30">
        <f>H17+G18</f>
        <v>0.899521554987656</v>
      </c>
    </row>
    <row r="19" spans="1:8" x14ac:dyDescent="0.25">
      <c r="A19" s="59" t="str">
        <f>IF(H19&lt;=0.8,"A",IF(H19&lt;=0.95,"B","C"))</f>
        <v>B</v>
      </c>
      <c r="B19" s="23" t="s">
        <v>92</v>
      </c>
      <c r="C19" s="23" t="s">
        <v>138</v>
      </c>
      <c r="D19" s="23" t="s">
        <v>95</v>
      </c>
      <c r="E19" s="55">
        <v>54</v>
      </c>
      <c r="F19" s="24">
        <v>9612</v>
      </c>
      <c r="G19" s="26">
        <f>F19/SUM($F$9:$F$23)</f>
        <v>0.03427652986294522</v>
      </c>
      <c r="H19" s="26">
        <f>H18+G19</f>
        <v>0.933798084850601</v>
      </c>
    </row>
    <row r="20" spans="1:8" x14ac:dyDescent="0.25">
      <c r="A20" s="60" t="str">
        <f>IF(H20&lt;=0.8,"A",IF(H20&lt;=0.95,"B","C"))</f>
        <v>C</v>
      </c>
      <c r="B20" s="27" t="s">
        <v>127</v>
      </c>
      <c r="C20" s="27" t="s">
        <v>128</v>
      </c>
      <c r="D20" s="27" t="s">
        <v>119</v>
      </c>
      <c r="E20" s="57">
        <v>780</v>
      </c>
      <c r="F20" s="28">
        <f>SUMIFS('Analítica'!$H$7:$H$1006,'Analítica'!$B$7:$B$1006,B20)</f>
        <v>7464.6</v>
      </c>
      <c r="G20" s="30">
        <f>F20/SUM($F$9:$F$23)</f>
        <v>0.026618870663227313</v>
      </c>
      <c r="H20" s="30">
        <f>H19+G20</f>
        <v>0.9604169555138283</v>
      </c>
    </row>
    <row r="21" spans="1:8" x14ac:dyDescent="0.25">
      <c r="A21" s="61" t="str">
        <f>IF(H21&lt;=0.8,"A",IF(H21&lt;=0.95,"B","C"))</f>
        <v>C</v>
      </c>
      <c r="B21" s="23" t="s">
        <v>99</v>
      </c>
      <c r="C21" s="23" t="s">
        <v>100</v>
      </c>
      <c r="D21" s="23" t="s">
        <v>101</v>
      </c>
      <c r="E21" s="55">
        <v>42</v>
      </c>
      <c r="F21" s="24">
        <f>SUMIFS('Analítica'!$H$7:$H$1006,'Analítica'!$B$7:$B$1006,B21)</f>
        <v>4630.08</v>
      </c>
      <c r="G21" s="26">
        <f>F21/SUM($F$9:$F$23)</f>
        <v>0.01651093168828812</v>
      </c>
      <c r="H21" s="26">
        <f>H20+G21</f>
        <v>0.9769278872021165</v>
      </c>
    </row>
    <row r="22" spans="1:8" x14ac:dyDescent="0.25">
      <c r="A22" s="60" t="str">
        <f>IF(H22&lt;=0.8,"A",IF(H22&lt;=0.95,"B","C"))</f>
        <v>C</v>
      </c>
      <c r="B22" s="27" t="s">
        <v>92</v>
      </c>
      <c r="C22" s="27" t="s">
        <v>94</v>
      </c>
      <c r="D22" s="27" t="s">
        <v>95</v>
      </c>
      <c r="E22" s="57">
        <v>1</v>
      </c>
      <c r="F22" s="28">
        <v>3500</v>
      </c>
      <c r="G22" s="30">
        <f>F22/SUM($F$9:$F$23)</f>
        <v>0.012481050199782386</v>
      </c>
      <c r="H22" s="30">
        <f>H21+G22</f>
        <v>0.989408937401899</v>
      </c>
    </row>
    <row r="23" spans="1:8" x14ac:dyDescent="0.25">
      <c r="A23" s="61" t="str">
        <f>IF(H23&lt;=0.8,"A",IF(H23&lt;=0.95,"B","C"))</f>
        <v>C</v>
      </c>
      <c r="B23" s="23" t="s">
        <v>92</v>
      </c>
      <c r="C23" s="23" t="s">
        <v>104</v>
      </c>
      <c r="D23" s="23" t="s">
        <v>101</v>
      </c>
      <c r="E23" s="55">
        <v>6</v>
      </c>
      <c r="F23" s="24">
        <v>2970</v>
      </c>
      <c r="G23" s="26">
        <f>F23/SUM($F$9:$F$23)</f>
        <v>0.010591062598101053</v>
      </c>
      <c r="H23" s="26">
        <f>H22+G23</f>
        <v>1</v>
      </c>
    </row>
    <row r="25" spans="1:8" x14ac:dyDescent="0.25">
      <c r="A25" s="21" t="s">
        <v>299</v>
      </c>
      <c r="B25" s="21"/>
      <c r="C25" s="21"/>
      <c r="D25" s="21"/>
      <c r="E25" s="21"/>
      <c r="F25" s="21"/>
      <c r="G25" s="21"/>
      <c r="H25" s="21"/>
    </row>
  </sheetData>
  <sheetProtection sheet="1" sort="0" autoFilter="0" algorithmName="SHA-512" hashValue="rFAcPq/ADIqU6BUJzbiQm+M7SHZlrV5myd5GJNO7xS6xOJz3qxoEaD+aiKJ/IvLDO55CYX2g7zRUd51sL6KE3g==" saltValue="B/Y8sMrWb7YaWgkRKPiWNg==" spinCount="100000"/>
  <autoFilter ref="A8:H23"/>
  <mergeCells count="4">
    <mergeCell ref="A1:H1"/>
    <mergeCell ref="A2:H2"/>
    <mergeCell ref="A3:H3"/>
    <mergeCell ref="A25:H25"/>
  </mergeCells>
  <conditionalFormatting sqref="G9:G23">
    <cfRule type="dataBar" priority="1">
      <dataBar>
        <cfvo type="min"/>
        <cfvo type="max"/>
        <color rgb="FFF59E0B"/>
      </dataBar>
      <extLst>
        <ext xmlns:x14="http://schemas.microsoft.com/office/spreadsheetml/2009/9/main" uri="{B025F937-C7B1-47D3-B67F-A62EFF666E3E}">
          <x14:id/>
        </ext>
      </extLst>
    </cfRule>
  </conditionalFormatting>
  <pageMargins left="0.4" right="0.4" top="0.55" bottom="0.55" header="0.2" footer="0.25"/>
  <pageSetup paperSize="9" orientation="portrait" fitToWidth="1" fitToHeight="0"/>
  <headerFooter>
    <oddFooter>&amp;L&amp;8OrçaPRO — ORC-2026-4384&amp;C&amp;8Construtora Modelo Ltda&amp;R&amp;8Pág. &amp;P de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B5CF6"/>
    <pageSetUpPr fitToPage="1"/>
  </sheetPr>
  <dimension ref="A1:X12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3" width="13" customWidth="1"/>
    <col min="24" max="24" width="15" customWidth="1"/>
  </cols>
  <sheetData>
    <row r="1" spans="1:24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</row>
    <row r="2" spans="1:24" x14ac:dyDescent="0.25">
      <c r="A2" s="20" t="s">
        <v>300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24" x14ac:dyDescent="0.25">
      <c r="A3" s="21" t="s">
        <v>51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x14ac:dyDescent="0.25">
      <c r="A4" s="22" t="s">
        <v>53</v>
      </c>
      <c r="B4" s="22" t="s">
        <v>154</v>
      </c>
      <c r="C4" s="22" t="s">
        <v>155</v>
      </c>
      <c r="D4" s="22" t="s">
        <v>156</v>
      </c>
      <c r="E4" s="22" t="s">
        <v>157</v>
      </c>
      <c r="F4" s="22" t="s">
        <v>158</v>
      </c>
      <c r="G4" s="22" t="s">
        <v>159</v>
      </c>
      <c r="H4" s="22" t="s">
        <v>160</v>
      </c>
      <c r="I4" s="22" t="s">
        <v>161</v>
      </c>
      <c r="J4" s="22" t="s">
        <v>162</v>
      </c>
      <c r="K4" s="22" t="s">
        <v>163</v>
      </c>
      <c r="L4" s="22" t="s">
        <v>164</v>
      </c>
      <c r="M4" s="22" t="s">
        <v>165</v>
      </c>
      <c r="N4" s="22" t="s">
        <v>166</v>
      </c>
      <c r="O4" s="22" t="s">
        <v>167</v>
      </c>
      <c r="P4" s="22" t="s">
        <v>168</v>
      </c>
      <c r="Q4" s="22" t="s">
        <v>169</v>
      </c>
      <c r="R4" s="22" t="s">
        <v>170</v>
      </c>
      <c r="S4" s="22" t="s">
        <v>171</v>
      </c>
      <c r="T4" s="22" t="s">
        <v>172</v>
      </c>
      <c r="U4" s="22" t="s">
        <v>173</v>
      </c>
      <c r="V4" s="22" t="s">
        <v>174</v>
      </c>
      <c r="W4" s="22" t="s">
        <v>175</v>
      </c>
      <c r="X4" s="22" t="s">
        <v>301</v>
      </c>
    </row>
    <row r="5" spans="1:24" x14ac:dyDescent="0.25">
      <c r="A5" s="23" t="s">
        <v>178</v>
      </c>
      <c r="B5" s="24">
        <f>'Sintética'!$F$7*'Parâmetros'!B6</f>
        <v>22402.85</v>
      </c>
      <c r="C5" s="24">
        <f>'Sintética'!$F$7*'Parâmetros'!C6</f>
        <v>0</v>
      </c>
      <c r="D5" s="24">
        <f>'Sintética'!$F$7*'Parâmetros'!D6</f>
        <v>0</v>
      </c>
      <c r="E5" s="24">
        <f>'Sintética'!$F$7*'Parâmetros'!E6</f>
        <v>0</v>
      </c>
      <c r="F5" s="24">
        <f>'Sintética'!$F$7*'Parâmetros'!F6</f>
        <v>0</v>
      </c>
      <c r="G5" s="24">
        <f>'Sintética'!$F$7*'Parâmetros'!G6</f>
        <v>0</v>
      </c>
      <c r="H5" s="24">
        <f>'Sintética'!$F$7*'Parâmetros'!H6</f>
        <v>0</v>
      </c>
      <c r="I5" s="24">
        <f>'Sintética'!$F$7*'Parâmetros'!I6</f>
        <v>0</v>
      </c>
      <c r="J5" s="24">
        <f>'Sintética'!$F$7*'Parâmetros'!J6</f>
        <v>0</v>
      </c>
      <c r="K5" s="24">
        <f>'Sintética'!$F$7*'Parâmetros'!K6</f>
        <v>0</v>
      </c>
      <c r="L5" s="24">
        <f>'Sintética'!$F$7*'Parâmetros'!L6</f>
        <v>0</v>
      </c>
      <c r="M5" s="24">
        <f>'Sintética'!$F$7*'Parâmetros'!M6</f>
        <v>0</v>
      </c>
      <c r="N5" s="24">
        <f>'Sintética'!$F$7*'Parâmetros'!N6</f>
        <v>0</v>
      </c>
      <c r="O5" s="24">
        <f>'Sintética'!$F$7*'Parâmetros'!O6</f>
        <v>0</v>
      </c>
      <c r="P5" s="24">
        <f>'Sintética'!$F$7*'Parâmetros'!P6</f>
        <v>0</v>
      </c>
      <c r="Q5" s="24">
        <f>'Sintética'!$F$7*'Parâmetros'!Q6</f>
        <v>0</v>
      </c>
      <c r="R5" s="24">
        <f>'Sintética'!$F$7*'Parâmetros'!R6</f>
        <v>0</v>
      </c>
      <c r="S5" s="24">
        <f>'Sintética'!$F$7*'Parâmetros'!S6</f>
        <v>0</v>
      </c>
      <c r="T5" s="24">
        <f>'Sintética'!$F$7*'Parâmetros'!T6</f>
        <v>0</v>
      </c>
      <c r="U5" s="24">
        <f>'Sintética'!$F$7*'Parâmetros'!U6</f>
        <v>0</v>
      </c>
      <c r="V5" s="24">
        <f>'Sintética'!$F$7*'Parâmetros'!V6</f>
        <v>0</v>
      </c>
      <c r="W5" s="24">
        <f>'Sintética'!$F$7*'Parâmetros'!W6</f>
        <v>0</v>
      </c>
      <c r="X5" s="62">
        <f>SUM(B5:W5)</f>
        <v>22402.85</v>
      </c>
    </row>
    <row r="6" spans="1:24" x14ac:dyDescent="0.25">
      <c r="A6" s="27" t="s">
        <v>179</v>
      </c>
      <c r="B6" s="28">
        <f>'Sintética'!$F$8*'Parâmetros'!B7</f>
        <v>30547.879999999997</v>
      </c>
      <c r="C6" s="28">
        <f>'Sintética'!$F$8*'Parâmetros'!C7</f>
        <v>0</v>
      </c>
      <c r="D6" s="28">
        <f>'Sintética'!$F$8*'Parâmetros'!D7</f>
        <v>0</v>
      </c>
      <c r="E6" s="28">
        <f>'Sintética'!$F$8*'Parâmetros'!E7</f>
        <v>0</v>
      </c>
      <c r="F6" s="28">
        <f>'Sintética'!$F$8*'Parâmetros'!F7</f>
        <v>0</v>
      </c>
      <c r="G6" s="28">
        <f>'Sintética'!$F$8*'Parâmetros'!G7</f>
        <v>0</v>
      </c>
      <c r="H6" s="28">
        <f>'Sintética'!$F$8*'Parâmetros'!H7</f>
        <v>0</v>
      </c>
      <c r="I6" s="28">
        <f>'Sintética'!$F$8*'Parâmetros'!I7</f>
        <v>0</v>
      </c>
      <c r="J6" s="28">
        <f>'Sintética'!$F$8*'Parâmetros'!J7</f>
        <v>0</v>
      </c>
      <c r="K6" s="28">
        <f>'Sintética'!$F$8*'Parâmetros'!K7</f>
        <v>0</v>
      </c>
      <c r="L6" s="28">
        <f>'Sintética'!$F$8*'Parâmetros'!L7</f>
        <v>0</v>
      </c>
      <c r="M6" s="28">
        <f>'Sintética'!$F$8*'Parâmetros'!M7</f>
        <v>0</v>
      </c>
      <c r="N6" s="28">
        <f>'Sintética'!$F$8*'Parâmetros'!N7</f>
        <v>0</v>
      </c>
      <c r="O6" s="28">
        <f>'Sintética'!$F$8*'Parâmetros'!O7</f>
        <v>0</v>
      </c>
      <c r="P6" s="28">
        <f>'Sintética'!$F$8*'Parâmetros'!P7</f>
        <v>0</v>
      </c>
      <c r="Q6" s="28">
        <f>'Sintética'!$F$8*'Parâmetros'!Q7</f>
        <v>0</v>
      </c>
      <c r="R6" s="28">
        <f>'Sintética'!$F$8*'Parâmetros'!R7</f>
        <v>0</v>
      </c>
      <c r="S6" s="28">
        <f>'Sintética'!$F$8*'Parâmetros'!S7</f>
        <v>0</v>
      </c>
      <c r="T6" s="28">
        <f>'Sintética'!$F$8*'Parâmetros'!T7</f>
        <v>0</v>
      </c>
      <c r="U6" s="28">
        <f>'Sintética'!$F$8*'Parâmetros'!U7</f>
        <v>0</v>
      </c>
      <c r="V6" s="28">
        <f>'Sintética'!$F$8*'Parâmetros'!V7</f>
        <v>0</v>
      </c>
      <c r="W6" s="28">
        <f>'Sintética'!$F$8*'Parâmetros'!W7</f>
        <v>0</v>
      </c>
      <c r="X6" s="63">
        <f>SUM(B6:W6)</f>
        <v>30547.88</v>
      </c>
    </row>
    <row r="7" spans="1:24" x14ac:dyDescent="0.25">
      <c r="A7" s="23" t="s">
        <v>180</v>
      </c>
      <c r="B7" s="24">
        <f>'Sintética'!$F$9*'Parâmetros'!B8</f>
        <v>569.1071999999999</v>
      </c>
      <c r="C7" s="24">
        <f>'Sintética'!$F$9*'Parâmetros'!C8</f>
        <v>5975.625600000002</v>
      </c>
      <c r="D7" s="24">
        <f>'Sintética'!$F$9*'Parâmetros'!D8</f>
        <v>5406.518400000002</v>
      </c>
      <c r="E7" s="24">
        <f>'Sintética'!$F$9*'Parâmetros'!E8</f>
        <v>6260.179200000002</v>
      </c>
      <c r="F7" s="24">
        <f>'Sintética'!$F$9*'Parâmetros'!F8</f>
        <v>5691.072000000002</v>
      </c>
      <c r="G7" s="24">
        <f>'Sintética'!$F$9*'Parâmetros'!G8</f>
        <v>5121.964800000002</v>
      </c>
      <c r="H7" s="24">
        <f>'Sintética'!$F$9*'Parâmetros'!H8</f>
        <v>6260.179200000002</v>
      </c>
      <c r="I7" s="24">
        <f>'Sintética'!$F$9*'Parâmetros'!I8</f>
        <v>5975.625600000002</v>
      </c>
      <c r="J7" s="24">
        <f>'Sintética'!$F$9*'Parâmetros'!J8</f>
        <v>5691.072000000002</v>
      </c>
      <c r="K7" s="24">
        <f>'Sintética'!$F$9*'Parâmetros'!K8</f>
        <v>6260.179200000002</v>
      </c>
      <c r="L7" s="24">
        <f>'Sintética'!$F$9*'Parâmetros'!L8</f>
        <v>6260.179200000002</v>
      </c>
      <c r="M7" s="24">
        <f>'Sintética'!$F$9*'Parâmetros'!M8</f>
        <v>6260.179200000002</v>
      </c>
      <c r="N7" s="24">
        <f>'Sintética'!$F$9*'Parâmetros'!N8</f>
        <v>5975.625600000002</v>
      </c>
      <c r="O7" s="24">
        <f>'Sintética'!$F$9*'Parâmetros'!O8</f>
        <v>5691.072000000002</v>
      </c>
      <c r="P7" s="24">
        <f>'Sintética'!$F$9*'Parâmetros'!P8</f>
        <v>5691.072000000002</v>
      </c>
      <c r="Q7" s="24">
        <f>'Sintética'!$F$9*'Parâmetros'!Q8</f>
        <v>6544.7328000000025</v>
      </c>
      <c r="R7" s="24">
        <f>'Sintética'!$F$9*'Parâmetros'!R8</f>
        <v>5975.625600000002</v>
      </c>
      <c r="S7" s="24">
        <f>'Sintética'!$F$9*'Parâmetros'!S8</f>
        <v>3983.750400000001</v>
      </c>
      <c r="T7" s="24">
        <f>'Sintética'!$F$9*'Parâmetros'!T8</f>
        <v>0</v>
      </c>
      <c r="U7" s="24">
        <f>'Sintética'!$F$9*'Parâmetros'!U8</f>
        <v>0</v>
      </c>
      <c r="V7" s="24">
        <f>'Sintética'!$F$9*'Parâmetros'!V8</f>
        <v>0</v>
      </c>
      <c r="W7" s="24">
        <f>'Sintética'!$F$9*'Parâmetros'!W8</f>
        <v>0</v>
      </c>
      <c r="X7" s="62">
        <f>SUM(B7:W7)</f>
        <v>99593.76</v>
      </c>
    </row>
    <row r="8" spans="1:24" x14ac:dyDescent="0.25">
      <c r="A8" s="27" t="s">
        <v>181</v>
      </c>
      <c r="B8" s="28">
        <f>'Sintética'!$F$10*'Parâmetros'!B9</f>
        <v>0</v>
      </c>
      <c r="C8" s="28">
        <f>'Sintética'!$F$10*'Parâmetros'!C9</f>
        <v>0</v>
      </c>
      <c r="D8" s="28">
        <f>'Sintética'!$F$10*'Parâmetros'!D9</f>
        <v>0</v>
      </c>
      <c r="E8" s="28">
        <f>'Sintética'!$F$10*'Parâmetros'!E9</f>
        <v>0</v>
      </c>
      <c r="F8" s="28">
        <f>'Sintética'!$F$10*'Parâmetros'!F9</f>
        <v>0</v>
      </c>
      <c r="G8" s="28">
        <f>'Sintética'!$F$10*'Parâmetros'!G9</f>
        <v>0</v>
      </c>
      <c r="H8" s="28">
        <f>'Sintética'!$F$10*'Parâmetros'!H9</f>
        <v>0</v>
      </c>
      <c r="I8" s="28">
        <f>'Sintética'!$F$10*'Parâmetros'!I9</f>
        <v>0</v>
      </c>
      <c r="J8" s="28">
        <f>'Sintética'!$F$10*'Parâmetros'!J9</f>
        <v>0</v>
      </c>
      <c r="K8" s="28">
        <f>'Sintética'!$F$10*'Parâmetros'!K9</f>
        <v>0</v>
      </c>
      <c r="L8" s="28">
        <f>'Sintética'!$F$10*'Parâmetros'!L9</f>
        <v>0</v>
      </c>
      <c r="M8" s="28">
        <f>'Sintética'!$F$10*'Parâmetros'!M9</f>
        <v>0</v>
      </c>
      <c r="N8" s="28">
        <f>'Sintética'!$F$10*'Parâmetros'!N9</f>
        <v>0</v>
      </c>
      <c r="O8" s="28">
        <f>'Sintética'!$F$10*'Parâmetros'!O9</f>
        <v>0</v>
      </c>
      <c r="P8" s="28">
        <f>'Sintética'!$F$10*'Parâmetros'!P9</f>
        <v>0</v>
      </c>
      <c r="Q8" s="28">
        <f>'Sintética'!$F$10*'Parâmetros'!Q9</f>
        <v>17287.485937500005</v>
      </c>
      <c r="R8" s="28">
        <f>'Sintética'!$F$10*'Parâmetros'!R9</f>
        <v>21355.129687500008</v>
      </c>
      <c r="S8" s="28">
        <f>'Sintética'!$F$10*'Parâmetros'!S9</f>
        <v>19321.307812500007</v>
      </c>
      <c r="T8" s="28">
        <f>'Sintética'!$F$10*'Parâmetros'!T9</f>
        <v>23388.95156250001</v>
      </c>
      <c r="U8" s="28">
        <f>'Sintética'!$F$10*'Parâmetros'!U9</f>
        <v>18304.396875000006</v>
      </c>
      <c r="V8" s="28">
        <f>'Sintética'!$F$10*'Parâmetros'!V9</f>
        <v>22372.04062500001</v>
      </c>
      <c r="W8" s="28">
        <f>'Sintética'!$F$10*'Parâmetros'!W9</f>
        <v>8135.287499999999</v>
      </c>
      <c r="X8" s="63">
        <f>SUM(B8:W8)</f>
        <v>130164.6</v>
      </c>
    </row>
    <row r="9" spans="1:24" x14ac:dyDescent="0.25">
      <c r="A9" s="23" t="s">
        <v>182</v>
      </c>
      <c r="B9" s="24">
        <f>'Sintética'!$F$11*'Parâmetros'!B10</f>
        <v>0</v>
      </c>
      <c r="C9" s="24">
        <f>'Sintética'!$F$11*'Parâmetros'!C10</f>
        <v>0</v>
      </c>
      <c r="D9" s="24">
        <f>'Sintética'!$F$11*'Parâmetros'!D10</f>
        <v>0</v>
      </c>
      <c r="E9" s="24">
        <f>'Sintética'!$F$11*'Parâmetros'!E10</f>
        <v>0</v>
      </c>
      <c r="F9" s="24">
        <f>'Sintética'!$F$11*'Parâmetros'!F10</f>
        <v>0</v>
      </c>
      <c r="G9" s="24">
        <f>'Sintética'!$F$11*'Parâmetros'!G10</f>
        <v>0</v>
      </c>
      <c r="H9" s="24">
        <f>'Sintética'!$F$11*'Parâmetros'!H10</f>
        <v>0</v>
      </c>
      <c r="I9" s="24">
        <f>'Sintética'!$F$11*'Parâmetros'!I10</f>
        <v>0</v>
      </c>
      <c r="J9" s="24">
        <f>'Sintética'!$F$11*'Parâmetros'!J10</f>
        <v>0</v>
      </c>
      <c r="K9" s="24">
        <f>'Sintética'!$F$11*'Parâmetros'!K10</f>
        <v>0</v>
      </c>
      <c r="L9" s="24">
        <f>'Sintética'!$F$11*'Parâmetros'!L10</f>
        <v>0</v>
      </c>
      <c r="M9" s="24">
        <f>'Sintética'!$F$11*'Parâmetros'!M10</f>
        <v>0</v>
      </c>
      <c r="N9" s="24">
        <f>'Sintética'!$F$11*'Parâmetros'!N10</f>
        <v>0</v>
      </c>
      <c r="O9" s="24">
        <f>'Sintética'!$F$11*'Parâmetros'!O10</f>
        <v>0</v>
      </c>
      <c r="P9" s="24">
        <f>'Sintética'!$F$11*'Parâmetros'!P10</f>
        <v>0</v>
      </c>
      <c r="Q9" s="24">
        <f>'Sintética'!$F$11*'Parâmetros'!Q10</f>
        <v>0</v>
      </c>
      <c r="R9" s="24">
        <f>'Sintética'!$F$11*'Parâmetros'!R10</f>
        <v>0</v>
      </c>
      <c r="S9" s="24">
        <f>'Sintética'!$F$11*'Parâmetros'!S10</f>
        <v>0</v>
      </c>
      <c r="T9" s="24">
        <f>'Sintética'!$F$11*'Parâmetros'!T10</f>
        <v>0</v>
      </c>
      <c r="U9" s="24">
        <f>'Sintética'!$F$11*'Parâmetros'!U10</f>
        <v>0</v>
      </c>
      <c r="V9" s="24">
        <f>'Sintética'!$F$11*'Parâmetros'!V10</f>
        <v>29526.42</v>
      </c>
      <c r="W9" s="24">
        <f>'Sintética'!$F$11*'Parâmetros'!W10</f>
        <v>0</v>
      </c>
      <c r="X9" s="62">
        <f>SUM(B9:W9)</f>
        <v>29526.42</v>
      </c>
    </row>
    <row r="10" spans="1:24" x14ac:dyDescent="0.25">
      <c r="A10" s="27" t="s">
        <v>183</v>
      </c>
      <c r="B10" s="28">
        <f>'Sintética'!$F$12*'Parâmetros'!B11</f>
        <v>0</v>
      </c>
      <c r="C10" s="28">
        <f>'Sintética'!$F$12*'Parâmetros'!C11</f>
        <v>0</v>
      </c>
      <c r="D10" s="28">
        <f>'Sintética'!$F$12*'Parâmetros'!D11</f>
        <v>0</v>
      </c>
      <c r="E10" s="28">
        <f>'Sintética'!$F$12*'Parâmetros'!E11</f>
        <v>0</v>
      </c>
      <c r="F10" s="28">
        <f>'Sintética'!$F$12*'Parâmetros'!F11</f>
        <v>0</v>
      </c>
      <c r="G10" s="28">
        <f>'Sintética'!$F$12*'Parâmetros'!G11</f>
        <v>0</v>
      </c>
      <c r="H10" s="28">
        <f>'Sintética'!$F$12*'Parâmetros'!H11</f>
        <v>0</v>
      </c>
      <c r="I10" s="28">
        <f>'Sintética'!$F$12*'Parâmetros'!I11</f>
        <v>0</v>
      </c>
      <c r="J10" s="28">
        <f>'Sintética'!$F$12*'Parâmetros'!J11</f>
        <v>0</v>
      </c>
      <c r="K10" s="28">
        <f>'Sintética'!$F$12*'Parâmetros'!K11</f>
        <v>0</v>
      </c>
      <c r="L10" s="28">
        <f>'Sintética'!$F$12*'Parâmetros'!L11</f>
        <v>0</v>
      </c>
      <c r="M10" s="28">
        <f>'Sintética'!$F$12*'Parâmetros'!M11</f>
        <v>0</v>
      </c>
      <c r="N10" s="28">
        <f>'Sintética'!$F$12*'Parâmetros'!N11</f>
        <v>0</v>
      </c>
      <c r="O10" s="28">
        <f>'Sintética'!$F$12*'Parâmetros'!O11</f>
        <v>0</v>
      </c>
      <c r="P10" s="28">
        <f>'Sintética'!$F$12*'Parâmetros'!P11</f>
        <v>0</v>
      </c>
      <c r="Q10" s="28">
        <f>'Sintética'!$F$12*'Parâmetros'!Q11</f>
        <v>0</v>
      </c>
      <c r="R10" s="28">
        <f>'Sintética'!$F$12*'Parâmetros'!R11</f>
        <v>0</v>
      </c>
      <c r="S10" s="28">
        <f>'Sintética'!$F$12*'Parâmetros'!S11</f>
        <v>0</v>
      </c>
      <c r="T10" s="28">
        <f>'Sintética'!$F$12*'Parâmetros'!T11</f>
        <v>0</v>
      </c>
      <c r="U10" s="28">
        <f>'Sintética'!$F$12*'Parâmetros'!U11</f>
        <v>0</v>
      </c>
      <c r="V10" s="28">
        <f>'Sintética'!$F$12*'Parâmetros'!V11</f>
        <v>2253.641025641026</v>
      </c>
      <c r="W10" s="28">
        <f>'Sintética'!$F$12*'Parâmetros'!W11</f>
        <v>41692.358974358984</v>
      </c>
      <c r="X10" s="63">
        <f>SUM(B10:W10)</f>
        <v>43946</v>
      </c>
    </row>
    <row r="11" spans="1:24" x14ac:dyDescent="0.25">
      <c r="A11" s="31" t="s">
        <v>302</v>
      </c>
      <c r="B11" s="32">
        <f>SUM(B5:B10)</f>
        <v>53519.837199999994</v>
      </c>
      <c r="C11" s="32">
        <f>SUM(C5:C10)</f>
        <v>5975.625600000002</v>
      </c>
      <c r="D11" s="32">
        <f>SUM(D5:D10)</f>
        <v>5406.518400000002</v>
      </c>
      <c r="E11" s="32">
        <f>SUM(E5:E10)</f>
        <v>6260.179200000002</v>
      </c>
      <c r="F11" s="32">
        <f>SUM(F5:F10)</f>
        <v>5691.072000000002</v>
      </c>
      <c r="G11" s="32">
        <f>SUM(G5:G10)</f>
        <v>5121.964800000002</v>
      </c>
      <c r="H11" s="32">
        <f>SUM(H5:H10)</f>
        <v>6260.179200000002</v>
      </c>
      <c r="I11" s="32">
        <f>SUM(I5:I10)</f>
        <v>5975.625600000002</v>
      </c>
      <c r="J11" s="32">
        <f>SUM(J5:J10)</f>
        <v>5691.072000000002</v>
      </c>
      <c r="K11" s="32">
        <f>SUM(K5:K10)</f>
        <v>6260.179200000002</v>
      </c>
      <c r="L11" s="32">
        <f>SUM(L5:L10)</f>
        <v>6260.179200000002</v>
      </c>
      <c r="M11" s="32">
        <f>SUM(M5:M10)</f>
        <v>6260.179200000002</v>
      </c>
      <c r="N11" s="32">
        <f>SUM(N5:N10)</f>
        <v>5975.625600000002</v>
      </c>
      <c r="O11" s="32">
        <f>SUM(O5:O10)</f>
        <v>5691.072000000002</v>
      </c>
      <c r="P11" s="32">
        <f>SUM(P5:P10)</f>
        <v>5691.072000000002</v>
      </c>
      <c r="Q11" s="32">
        <f>SUM(Q5:Q10)</f>
        <v>23832.218737500007</v>
      </c>
      <c r="R11" s="32">
        <f>SUM(R5:R10)</f>
        <v>27330.75528750001</v>
      </c>
      <c r="S11" s="32">
        <f>SUM(S5:S10)</f>
        <v>23305.058212500007</v>
      </c>
      <c r="T11" s="32">
        <f>SUM(T5:T10)</f>
        <v>23388.95156250001</v>
      </c>
      <c r="U11" s="32">
        <f>SUM(U5:U10)</f>
        <v>18304.396875000006</v>
      </c>
      <c r="V11" s="32">
        <f>SUM(V5:V10)</f>
        <v>54152.10165064103</v>
      </c>
      <c r="W11" s="32">
        <f>SUM(W5:W10)</f>
        <v>49827.64647435898</v>
      </c>
      <c r="X11" s="32">
        <f>SUM(B11:W11)</f>
        <v>356181.50999999995</v>
      </c>
    </row>
    <row r="12" spans="1:23" x14ac:dyDescent="0.25">
      <c r="A12" s="49" t="s">
        <v>303</v>
      </c>
      <c r="B12" s="64">
        <f>SUM($B$11:B11)/$X$11</f>
        <v>0.15026000984722648</v>
      </c>
      <c r="C12" s="64">
        <f>SUM($B$11:C11)/$X$11</f>
        <v>0.16703692114731056</v>
      </c>
      <c r="D12" s="64">
        <f>SUM($B$11:D11)/$X$11</f>
        <v>0.18221603137119613</v>
      </c>
      <c r="E12" s="64">
        <f>SUM($B$11:E11)/$X$11</f>
        <v>0.1997918432093794</v>
      </c>
      <c r="F12" s="64">
        <f>SUM($B$11:F11)/$X$11</f>
        <v>0.21576985397136422</v>
      </c>
      <c r="G12" s="64">
        <f>SUM($B$11:G11)/$X$11</f>
        <v>0.23015006365715057</v>
      </c>
      <c r="H12" s="64">
        <f>SUM($B$11:H11)/$X$11</f>
        <v>0.24772587549533384</v>
      </c>
      <c r="I12" s="64">
        <f>SUM($B$11:I11)/$X$11</f>
        <v>0.2645027867954179</v>
      </c>
      <c r="J12" s="64">
        <f>SUM($B$11:J11)/$X$11</f>
        <v>0.2804807975574027</v>
      </c>
      <c r="K12" s="64">
        <f>SUM($B$11:K11)/$X$11</f>
        <v>0.298056609395586</v>
      </c>
      <c r="L12" s="64">
        <f>SUM($B$11:L11)/$X$11</f>
        <v>0.3156324212337693</v>
      </c>
      <c r="M12" s="64">
        <f>SUM($B$11:M11)/$X$11</f>
        <v>0.3332082330719526</v>
      </c>
      <c r="N12" s="64">
        <f>SUM($B$11:N11)/$X$11</f>
        <v>0.34998514437203665</v>
      </c>
      <c r="O12" s="64">
        <f>SUM($B$11:O11)/$X$11</f>
        <v>0.36596315513402145</v>
      </c>
      <c r="P12" s="64">
        <f>SUM($B$11:P11)/$X$11</f>
        <v>0.38194116589600635</v>
      </c>
      <c r="Q12" s="64">
        <f>SUM($B$11:Q11)/$X$11</f>
        <v>0.448851485686329</v>
      </c>
      <c r="R12" s="64">
        <f>SUM($B$11:R11)/$X$11</f>
        <v>0.5255841473214038</v>
      </c>
      <c r="S12" s="64">
        <f>SUM($B$11:S11)/$X$11</f>
        <v>0.5910144337293086</v>
      </c>
      <c r="T12" s="64">
        <f>SUM($B$11:T11)/$X$11</f>
        <v>0.6566802555247747</v>
      </c>
      <c r="U12" s="64">
        <f>SUM($B$11:U11)/$X$11</f>
        <v>0.7080708986690525</v>
      </c>
      <c r="V12" s="64">
        <f>SUM($B$11:V11)/$X$11</f>
        <v>0.860106027192824</v>
      </c>
      <c r="W12" s="64">
        <f>SUM($B$11:W11)/$X$11</f>
        <v>1.0000000000000002</v>
      </c>
    </row>
  </sheetData>
  <sheetProtection sheet="1" sort="0" autoFilter="0" algorithmName="SHA-512" hashValue="Nx3yxpm7Uf6997K3k5f73rE5tXtgqs4ED0Buwan+L+0HQ/tZ4ixBBbfflejRko+8fft6IGS1PRNd7/gfGbcljw==" saltValue="RvfNS/ux3F0R/4sS2+JgBA==" spinCount="100000"/>
  <mergeCells count="3">
    <mergeCell ref="A1:X1"/>
    <mergeCell ref="A2:X2"/>
    <mergeCell ref="A3:X3"/>
  </mergeCells>
  <pageMargins left="0.4" right="0.4" top="0.55" bottom="0.55" header="0.2" footer="0.25"/>
  <pageSetup paperSize="9" orientation="landscape" fitToWidth="1" fitToHeight="0"/>
  <headerFooter>
    <oddFooter>&amp;L&amp;8OrçaPRO — ORC-2026-4384&amp;C&amp;8Construtora Modelo Ltda&amp;R&amp;8Pág. &amp;P de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A5E9"/>
    <pageSetUpPr fitToPage="1"/>
  </sheetPr>
  <dimension ref="A1:DD21"/>
  <sheetViews>
    <sheetView workbookViewId="0" showGridLines="0">
      <pane xSplit="3" ySplit="6" topLeftCell="D7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15" customWidth="1"/>
    <col min="3" max="3" width="10" customWidth="1"/>
    <col min="4" max="4" width="14" customWidth="1"/>
    <col min="5" max="5" width="10" customWidth="1"/>
    <col min="6" max="7" width="8" customWidth="1"/>
    <col min="8" max="9" width="11" customWidth="1"/>
    <col min="10" max="10" width="8" customWidth="1"/>
    <col min="11" max="108" width="3.4" customWidth="1"/>
  </cols>
  <sheetData>
    <row r="1" spans="1:108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</row>
    <row r="2" spans="1:108" x14ac:dyDescent="0.25">
      <c r="A2" s="20" t="s">
        <v>304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</row>
    <row r="3" ht="30" customHeight="1" spans="1:108" x14ac:dyDescent="0.25">
      <c r="A3" s="65" t="s">
        <v>305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</row>
    <row r="4" ht="28" customHeight="1" spans="1:10" x14ac:dyDescent="0.25">
      <c r="A4" s="66" t="s">
        <v>306</v>
      </c>
      <c r="B4" s="67">
        <v>46273</v>
      </c>
      <c r="C4" s="66" t="s">
        <v>307</v>
      </c>
      <c r="D4" s="68">
        <v>5</v>
      </c>
      <c r="E4" s="66" t="s">
        <v>308</v>
      </c>
      <c r="F4" s="69">
        <v>0.15</v>
      </c>
      <c r="G4" s="70" t="s">
        <v>309</v>
      </c>
      <c r="H4" s="70"/>
      <c r="I4" s="70"/>
      <c r="J4" s="70"/>
    </row>
    <row r="5" ht="40" customHeight="1" spans="1:108" x14ac:dyDescent="0.25">
      <c r="A5" s="66" t="s">
        <v>310</v>
      </c>
      <c r="B5" s="71">
        <f>MAX(F7:F12)</f>
        <v>470</v>
      </c>
      <c r="C5" s="66" t="s">
        <v>311</v>
      </c>
      <c r="D5" s="71">
        <f>ROUNDUP(B5/$D$4,0)</f>
        <v>94</v>
      </c>
      <c r="E5" s="66" t="s">
        <v>312</v>
      </c>
      <c r="F5" s="72">
        <f>IF($D$4&gt;=7,_xlfn.WORKDAY.INTL($B$4,B5,"0000000",Feriados!$A$3:$A$74),IF($D$4=6,_xlfn.WORKDAY.INTL($B$4,B5,11,Feriados!$A$3:$A$74),WORKDAY($B$4,B5,Feriados!$A$3:$A$74)))</f>
        <v>46959</v>
      </c>
      <c r="G5" s="72"/>
      <c r="H5" s="66" t="s">
        <v>313</v>
      </c>
      <c r="I5" s="71">
        <f>COUNTIF(J7:J12,"SIM")</f>
        <v>6</v>
      </c>
      <c r="K5" s="73">
        <f>$B$4+7*(K$6-1)</f>
        <v>46273</v>
      </c>
      <c r="L5" s="73">
        <f>$B$4+7*(L$6-1)</f>
        <v>46280</v>
      </c>
      <c r="M5" s="73">
        <f>$B$4+7*(M$6-1)</f>
        <v>46287</v>
      </c>
      <c r="N5" s="73">
        <f>$B$4+7*(N$6-1)</f>
        <v>46294</v>
      </c>
      <c r="O5" s="73">
        <f>$B$4+7*(O$6-1)</f>
        <v>46301</v>
      </c>
      <c r="P5" s="73">
        <f>$B$4+7*(P$6-1)</f>
        <v>46308</v>
      </c>
      <c r="Q5" s="73">
        <f>$B$4+7*(Q$6-1)</f>
        <v>46315</v>
      </c>
      <c r="R5" s="73">
        <f>$B$4+7*(R$6-1)</f>
        <v>46322</v>
      </c>
      <c r="S5" s="73">
        <f>$B$4+7*(S$6-1)</f>
        <v>46329</v>
      </c>
      <c r="T5" s="73">
        <f>$B$4+7*(T$6-1)</f>
        <v>46336</v>
      </c>
      <c r="U5" s="73">
        <f>$B$4+7*(U$6-1)</f>
        <v>46343</v>
      </c>
      <c r="V5" s="73">
        <f>$B$4+7*(V$6-1)</f>
        <v>46350</v>
      </c>
      <c r="W5" s="73">
        <f>$B$4+7*(W$6-1)</f>
        <v>46357</v>
      </c>
      <c r="X5" s="73">
        <f>$B$4+7*(X$6-1)</f>
        <v>46364</v>
      </c>
      <c r="Y5" s="73">
        <f>$B$4+7*(Y$6-1)</f>
        <v>46371</v>
      </c>
      <c r="Z5" s="73">
        <f>$B$4+7*(Z$6-1)</f>
        <v>46378</v>
      </c>
      <c r="AA5" s="73">
        <f>$B$4+7*(AA$6-1)</f>
        <v>46385</v>
      </c>
      <c r="AB5" s="73">
        <f>$B$4+7*(AB$6-1)</f>
        <v>46392</v>
      </c>
      <c r="AC5" s="73">
        <f>$B$4+7*(AC$6-1)</f>
        <v>46399</v>
      </c>
      <c r="AD5" s="73">
        <f>$B$4+7*(AD$6-1)</f>
        <v>46406</v>
      </c>
      <c r="AE5" s="73">
        <f>$B$4+7*(AE$6-1)</f>
        <v>46413</v>
      </c>
      <c r="AF5" s="73">
        <f>$B$4+7*(AF$6-1)</f>
        <v>46420</v>
      </c>
      <c r="AG5" s="73">
        <f>$B$4+7*(AG$6-1)</f>
        <v>46427</v>
      </c>
      <c r="AH5" s="73">
        <f>$B$4+7*(AH$6-1)</f>
        <v>46434</v>
      </c>
      <c r="AI5" s="73">
        <f>$B$4+7*(AI$6-1)</f>
        <v>46441</v>
      </c>
      <c r="AJ5" s="73">
        <f>$B$4+7*(AJ$6-1)</f>
        <v>46448</v>
      </c>
      <c r="AK5" s="73">
        <f>$B$4+7*(AK$6-1)</f>
        <v>46455</v>
      </c>
      <c r="AL5" s="73">
        <f>$B$4+7*(AL$6-1)</f>
        <v>46462</v>
      </c>
      <c r="AM5" s="73">
        <f>$B$4+7*(AM$6-1)</f>
        <v>46469</v>
      </c>
      <c r="AN5" s="73">
        <f>$B$4+7*(AN$6-1)</f>
        <v>46476</v>
      </c>
      <c r="AO5" s="73">
        <f>$B$4+7*(AO$6-1)</f>
        <v>46483</v>
      </c>
      <c r="AP5" s="73">
        <f>$B$4+7*(AP$6-1)</f>
        <v>46490</v>
      </c>
      <c r="AQ5" s="73">
        <f>$B$4+7*(AQ$6-1)</f>
        <v>46497</v>
      </c>
      <c r="AR5" s="73">
        <f>$B$4+7*(AR$6-1)</f>
        <v>46504</v>
      </c>
      <c r="AS5" s="73">
        <f>$B$4+7*(AS$6-1)</f>
        <v>46511</v>
      </c>
      <c r="AT5" s="73">
        <f>$B$4+7*(AT$6-1)</f>
        <v>46518</v>
      </c>
      <c r="AU5" s="73">
        <f>$B$4+7*(AU$6-1)</f>
        <v>46525</v>
      </c>
      <c r="AV5" s="73">
        <f>$B$4+7*(AV$6-1)</f>
        <v>46532</v>
      </c>
      <c r="AW5" s="73">
        <f>$B$4+7*(AW$6-1)</f>
        <v>46539</v>
      </c>
      <c r="AX5" s="73">
        <f>$B$4+7*(AX$6-1)</f>
        <v>46546</v>
      </c>
      <c r="AY5" s="73">
        <f>$B$4+7*(AY$6-1)</f>
        <v>46553</v>
      </c>
      <c r="AZ5" s="73">
        <f>$B$4+7*(AZ$6-1)</f>
        <v>46560</v>
      </c>
      <c r="BA5" s="73">
        <f>$B$4+7*(BA$6-1)</f>
        <v>46567</v>
      </c>
      <c r="BB5" s="73">
        <f>$B$4+7*(BB$6-1)</f>
        <v>46574</v>
      </c>
      <c r="BC5" s="73">
        <f>$B$4+7*(BC$6-1)</f>
        <v>46581</v>
      </c>
      <c r="BD5" s="73">
        <f>$B$4+7*(BD$6-1)</f>
        <v>46588</v>
      </c>
      <c r="BE5" s="73">
        <f>$B$4+7*(BE$6-1)</f>
        <v>46595</v>
      </c>
      <c r="BF5" s="73">
        <f>$B$4+7*(BF$6-1)</f>
        <v>46602</v>
      </c>
      <c r="BG5" s="73">
        <f>$B$4+7*(BG$6-1)</f>
        <v>46609</v>
      </c>
      <c r="BH5" s="73">
        <f>$B$4+7*(BH$6-1)</f>
        <v>46616</v>
      </c>
      <c r="BI5" s="73">
        <f>$B$4+7*(BI$6-1)</f>
        <v>46623</v>
      </c>
      <c r="BJ5" s="73">
        <f>$B$4+7*(BJ$6-1)</f>
        <v>46630</v>
      </c>
      <c r="BK5" s="73">
        <f>$B$4+7*(BK$6-1)</f>
        <v>46637</v>
      </c>
      <c r="BL5" s="73">
        <f>$B$4+7*(BL$6-1)</f>
        <v>46644</v>
      </c>
      <c r="BM5" s="73">
        <f>$B$4+7*(BM$6-1)</f>
        <v>46651</v>
      </c>
      <c r="BN5" s="73">
        <f>$B$4+7*(BN$6-1)</f>
        <v>46658</v>
      </c>
      <c r="BO5" s="73">
        <f>$B$4+7*(BO$6-1)</f>
        <v>46665</v>
      </c>
      <c r="BP5" s="73">
        <f>$B$4+7*(BP$6-1)</f>
        <v>46672</v>
      </c>
      <c r="BQ5" s="73">
        <f>$B$4+7*(BQ$6-1)</f>
        <v>46679</v>
      </c>
      <c r="BR5" s="73">
        <f>$B$4+7*(BR$6-1)</f>
        <v>46686</v>
      </c>
      <c r="BS5" s="73">
        <f>$B$4+7*(BS$6-1)</f>
        <v>46693</v>
      </c>
      <c r="BT5" s="73">
        <f>$B$4+7*(BT$6-1)</f>
        <v>46700</v>
      </c>
      <c r="BU5" s="73">
        <f>$B$4+7*(BU$6-1)</f>
        <v>46707</v>
      </c>
      <c r="BV5" s="73">
        <f>$B$4+7*(BV$6-1)</f>
        <v>46714</v>
      </c>
      <c r="BW5" s="73">
        <f>$B$4+7*(BW$6-1)</f>
        <v>46721</v>
      </c>
      <c r="BX5" s="73">
        <f>$B$4+7*(BX$6-1)</f>
        <v>46728</v>
      </c>
      <c r="BY5" s="73">
        <f>$B$4+7*(BY$6-1)</f>
        <v>46735</v>
      </c>
      <c r="BZ5" s="73">
        <f>$B$4+7*(BZ$6-1)</f>
        <v>46742</v>
      </c>
      <c r="CA5" s="73">
        <f>$B$4+7*(CA$6-1)</f>
        <v>46749</v>
      </c>
      <c r="CB5" s="73">
        <f>$B$4+7*(CB$6-1)</f>
        <v>46756</v>
      </c>
      <c r="CC5" s="73">
        <f>$B$4+7*(CC$6-1)</f>
        <v>46763</v>
      </c>
      <c r="CD5" s="73">
        <f>$B$4+7*(CD$6-1)</f>
        <v>46770</v>
      </c>
      <c r="CE5" s="73">
        <f>$B$4+7*(CE$6-1)</f>
        <v>46777</v>
      </c>
      <c r="CF5" s="73">
        <f>$B$4+7*(CF$6-1)</f>
        <v>46784</v>
      </c>
      <c r="CG5" s="73">
        <f>$B$4+7*(CG$6-1)</f>
        <v>46791</v>
      </c>
      <c r="CH5" s="73">
        <f>$B$4+7*(CH$6-1)</f>
        <v>46798</v>
      </c>
      <c r="CI5" s="73">
        <f>$B$4+7*(CI$6-1)</f>
        <v>46805</v>
      </c>
      <c r="CJ5" s="73">
        <f>$B$4+7*(CJ$6-1)</f>
        <v>46812</v>
      </c>
      <c r="CK5" s="73">
        <f>$B$4+7*(CK$6-1)</f>
        <v>46819</v>
      </c>
      <c r="CL5" s="73">
        <f>$B$4+7*(CL$6-1)</f>
        <v>46826</v>
      </c>
      <c r="CM5" s="73">
        <f>$B$4+7*(CM$6-1)</f>
        <v>46833</v>
      </c>
      <c r="CN5" s="73">
        <f>$B$4+7*(CN$6-1)</f>
        <v>46840</v>
      </c>
      <c r="CO5" s="73">
        <f>$B$4+7*(CO$6-1)</f>
        <v>46847</v>
      </c>
      <c r="CP5" s="73">
        <f>$B$4+7*(CP$6-1)</f>
        <v>46854</v>
      </c>
      <c r="CQ5" s="73">
        <f>$B$4+7*(CQ$6-1)</f>
        <v>46861</v>
      </c>
      <c r="CR5" s="73">
        <f>$B$4+7*(CR$6-1)</f>
        <v>46868</v>
      </c>
      <c r="CS5" s="73">
        <f>$B$4+7*(CS$6-1)</f>
        <v>46875</v>
      </c>
      <c r="CT5" s="73">
        <f>$B$4+7*(CT$6-1)</f>
        <v>46882</v>
      </c>
      <c r="CU5" s="73">
        <f>$B$4+7*(CU$6-1)</f>
        <v>46889</v>
      </c>
      <c r="CV5" s="73">
        <f>$B$4+7*(CV$6-1)</f>
        <v>46896</v>
      </c>
      <c r="CW5" s="73">
        <f>$B$4+7*(CW$6-1)</f>
        <v>46903</v>
      </c>
      <c r="CX5" s="73">
        <f>$B$4+7*(CX$6-1)</f>
        <v>46910</v>
      </c>
      <c r="CY5" s="73">
        <f>$B$4+7*(CY$6-1)</f>
        <v>46917</v>
      </c>
      <c r="CZ5" s="73">
        <f>$B$4+7*(CZ$6-1)</f>
        <v>46924</v>
      </c>
      <c r="DA5" s="73">
        <f>$B$4+7*(DA$6-1)</f>
        <v>46931</v>
      </c>
      <c r="DB5" s="73">
        <f>$B$4+7*(DB$6-1)</f>
        <v>46938</v>
      </c>
      <c r="DC5" s="73">
        <f>$B$4+7*(DC$6-1)</f>
        <v>46945</v>
      </c>
      <c r="DD5" s="73">
        <f>$B$4+7*(DD$6-1)</f>
        <v>46952</v>
      </c>
    </row>
    <row r="6" ht="30" customHeight="1" spans="1:108" x14ac:dyDescent="0.25">
      <c r="A6" s="22" t="s">
        <v>53</v>
      </c>
      <c r="B6" s="22" t="s">
        <v>191</v>
      </c>
      <c r="C6" s="22" t="s">
        <v>314</v>
      </c>
      <c r="D6" s="22" t="s">
        <v>315</v>
      </c>
      <c r="E6" s="22" t="s">
        <v>316</v>
      </c>
      <c r="F6" s="22" t="s">
        <v>317</v>
      </c>
      <c r="G6" s="22" t="s">
        <v>318</v>
      </c>
      <c r="H6" s="22" t="s">
        <v>319</v>
      </c>
      <c r="I6" s="22" t="s">
        <v>320</v>
      </c>
      <c r="J6" s="22" t="s">
        <v>321</v>
      </c>
      <c r="K6" s="74">
        <v>1</v>
      </c>
      <c r="L6" s="74">
        <v>2</v>
      </c>
      <c r="M6" s="74">
        <v>3</v>
      </c>
      <c r="N6" s="74">
        <v>4</v>
      </c>
      <c r="O6" s="74">
        <v>5</v>
      </c>
      <c r="P6" s="74">
        <v>6</v>
      </c>
      <c r="Q6" s="74">
        <v>7</v>
      </c>
      <c r="R6" s="74">
        <v>8</v>
      </c>
      <c r="S6" s="74">
        <v>9</v>
      </c>
      <c r="T6" s="74">
        <v>10</v>
      </c>
      <c r="U6" s="74">
        <v>11</v>
      </c>
      <c r="V6" s="74">
        <v>12</v>
      </c>
      <c r="W6" s="74">
        <v>13</v>
      </c>
      <c r="X6" s="74">
        <v>14</v>
      </c>
      <c r="Y6" s="74">
        <v>15</v>
      </c>
      <c r="Z6" s="74">
        <v>16</v>
      </c>
      <c r="AA6" s="74">
        <v>17</v>
      </c>
      <c r="AB6" s="74">
        <v>18</v>
      </c>
      <c r="AC6" s="74">
        <v>19</v>
      </c>
      <c r="AD6" s="74">
        <v>20</v>
      </c>
      <c r="AE6" s="74">
        <v>21</v>
      </c>
      <c r="AF6" s="74">
        <v>22</v>
      </c>
      <c r="AG6" s="74">
        <v>23</v>
      </c>
      <c r="AH6" s="74">
        <v>24</v>
      </c>
      <c r="AI6" s="74">
        <v>25</v>
      </c>
      <c r="AJ6" s="74">
        <v>26</v>
      </c>
      <c r="AK6" s="74">
        <v>27</v>
      </c>
      <c r="AL6" s="74">
        <v>28</v>
      </c>
      <c r="AM6" s="74">
        <v>29</v>
      </c>
      <c r="AN6" s="74">
        <v>30</v>
      </c>
      <c r="AO6" s="74">
        <v>31</v>
      </c>
      <c r="AP6" s="74">
        <v>32</v>
      </c>
      <c r="AQ6" s="74">
        <v>33</v>
      </c>
      <c r="AR6" s="74">
        <v>34</v>
      </c>
      <c r="AS6" s="74">
        <v>35</v>
      </c>
      <c r="AT6" s="74">
        <v>36</v>
      </c>
      <c r="AU6" s="74">
        <v>37</v>
      </c>
      <c r="AV6" s="74">
        <v>38</v>
      </c>
      <c r="AW6" s="74">
        <v>39</v>
      </c>
      <c r="AX6" s="74">
        <v>40</v>
      </c>
      <c r="AY6" s="74">
        <v>41</v>
      </c>
      <c r="AZ6" s="74">
        <v>42</v>
      </c>
      <c r="BA6" s="74">
        <v>43</v>
      </c>
      <c r="BB6" s="74">
        <v>44</v>
      </c>
      <c r="BC6" s="74">
        <v>45</v>
      </c>
      <c r="BD6" s="74">
        <v>46</v>
      </c>
      <c r="BE6" s="74">
        <v>47</v>
      </c>
      <c r="BF6" s="74">
        <v>48</v>
      </c>
      <c r="BG6" s="74">
        <v>49</v>
      </c>
      <c r="BH6" s="74">
        <v>50</v>
      </c>
      <c r="BI6" s="74">
        <v>51</v>
      </c>
      <c r="BJ6" s="74">
        <v>52</v>
      </c>
      <c r="BK6" s="74">
        <v>53</v>
      </c>
      <c r="BL6" s="74">
        <v>54</v>
      </c>
      <c r="BM6" s="74">
        <v>55</v>
      </c>
      <c r="BN6" s="74">
        <v>56</v>
      </c>
      <c r="BO6" s="74">
        <v>57</v>
      </c>
      <c r="BP6" s="74">
        <v>58</v>
      </c>
      <c r="BQ6" s="74">
        <v>59</v>
      </c>
      <c r="BR6" s="74">
        <v>60</v>
      </c>
      <c r="BS6" s="74">
        <v>61</v>
      </c>
      <c r="BT6" s="74">
        <v>62</v>
      </c>
      <c r="BU6" s="74">
        <v>63</v>
      </c>
      <c r="BV6" s="74">
        <v>64</v>
      </c>
      <c r="BW6" s="74">
        <v>65</v>
      </c>
      <c r="BX6" s="74">
        <v>66</v>
      </c>
      <c r="BY6" s="74">
        <v>67</v>
      </c>
      <c r="BZ6" s="74">
        <v>68</v>
      </c>
      <c r="CA6" s="74">
        <v>69</v>
      </c>
      <c r="CB6" s="74">
        <v>70</v>
      </c>
      <c r="CC6" s="74">
        <v>71</v>
      </c>
      <c r="CD6" s="74">
        <v>72</v>
      </c>
      <c r="CE6" s="74">
        <v>73</v>
      </c>
      <c r="CF6" s="74">
        <v>74</v>
      </c>
      <c r="CG6" s="74">
        <v>75</v>
      </c>
      <c r="CH6" s="74">
        <v>76</v>
      </c>
      <c r="CI6" s="74">
        <v>77</v>
      </c>
      <c r="CJ6" s="74">
        <v>78</v>
      </c>
      <c r="CK6" s="74">
        <v>79</v>
      </c>
      <c r="CL6" s="74">
        <v>80</v>
      </c>
      <c r="CM6" s="74">
        <v>81</v>
      </c>
      <c r="CN6" s="74">
        <v>82</v>
      </c>
      <c r="CO6" s="74">
        <v>83</v>
      </c>
      <c r="CP6" s="74">
        <v>84</v>
      </c>
      <c r="CQ6" s="74">
        <v>85</v>
      </c>
      <c r="CR6" s="74">
        <v>86</v>
      </c>
      <c r="CS6" s="74">
        <v>87</v>
      </c>
      <c r="CT6" s="74">
        <v>88</v>
      </c>
      <c r="CU6" s="74">
        <v>89</v>
      </c>
      <c r="CV6" s="74">
        <v>90</v>
      </c>
      <c r="CW6" s="74">
        <v>91</v>
      </c>
      <c r="CX6" s="74">
        <v>92</v>
      </c>
      <c r="CY6" s="74">
        <v>93</v>
      </c>
      <c r="CZ6" s="74">
        <v>94</v>
      </c>
      <c r="DA6" s="74">
        <v>95</v>
      </c>
      <c r="DB6" s="74">
        <v>96</v>
      </c>
      <c r="DC6" s="74">
        <v>97</v>
      </c>
      <c r="DD6" s="74">
        <v>98</v>
      </c>
    </row>
    <row r="7" spans="1:108" x14ac:dyDescent="0.25">
      <c r="A7" s="23" t="s">
        <v>178</v>
      </c>
      <c r="B7" s="23" t="s">
        <v>322</v>
      </c>
      <c r="C7" s="75">
        <v>10</v>
      </c>
      <c r="D7" s="76" t="s">
        <v>323</v>
      </c>
      <c r="E7" s="77">
        <v>0</v>
      </c>
      <c r="F7" s="77">
        <f>E7+C7</f>
        <v>10</v>
      </c>
      <c r="G7" s="77">
        <f>MAX(0,MIN($B$5,E8+G8+INT($F$4*C7))-F7)</f>
        <v>0</v>
      </c>
      <c r="H7" s="78">
        <f>IF($D$4&gt;=7,_xlfn.WORKDAY.INTL($B$4,E7,"0000000",Feriados!$A$3:$A$74),IF($D$4=6,_xlfn.WORKDAY.INTL($B$4,E7,11,Feriados!$A$3:$A$74),WORKDAY($B$4,E7,Feriados!$A$3:$A$74)))</f>
        <v>46273</v>
      </c>
      <c r="I7" s="78">
        <f>IF($D$4&gt;=7,_xlfn.WORKDAY.INTL($B$4,F7,"0000000",Feriados!$A$3:$A$74),IF($D$4=6,_xlfn.WORKDAY.INTL($B$4,F7,11,Feriados!$A$3:$A$74),WORKDAY($B$4,F7,Feriados!$A$3:$A$74)))</f>
        <v>46287</v>
      </c>
      <c r="J7" s="79" t="str">
        <f>IF(G7=0,"SIM","")</f>
        <v>SIM</v>
      </c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</row>
    <row r="8" spans="1:108" x14ac:dyDescent="0.25">
      <c r="A8" s="27" t="s">
        <v>179</v>
      </c>
      <c r="B8" s="27" t="s">
        <v>324</v>
      </c>
      <c r="C8" s="75">
        <v>6</v>
      </c>
      <c r="D8" s="80" t="s">
        <v>325</v>
      </c>
      <c r="E8" s="81">
        <f>MAX(0,F7-INT($F$4*C7))</f>
        <v>9</v>
      </c>
      <c r="F8" s="81">
        <f>E8+C8</f>
        <v>15</v>
      </c>
      <c r="G8" s="81">
        <f>MAX(0,MIN($B$5,E9+G9+INT($F$4*C8))-F8)</f>
        <v>0</v>
      </c>
      <c r="H8" s="82">
        <f>IF($D$4&gt;=7,_xlfn.WORKDAY.INTL($B$4,E8,"0000000",Feriados!$A$3:$A$74),IF($D$4=6,_xlfn.WORKDAY.INTL($B$4,E8,11,Feriados!$A$3:$A$74),WORKDAY($B$4,E8,Feriados!$A$3:$A$74)))</f>
        <v>46286</v>
      </c>
      <c r="I8" s="82">
        <f>IF($D$4&gt;=7,_xlfn.WORKDAY.INTL($B$4,F8,"0000000",Feriados!$A$3:$A$74),IF($D$4=6,_xlfn.WORKDAY.INTL($B$4,F8,11,Feriados!$A$3:$A$74),WORKDAY($B$4,F8,Feriados!$A$3:$A$74)))</f>
        <v>46294</v>
      </c>
      <c r="J8" s="83" t="str">
        <f>IF(G8=0,"SIM","")</f>
        <v>SIM</v>
      </c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</row>
    <row r="9" spans="1:108" x14ac:dyDescent="0.25">
      <c r="A9" s="23" t="s">
        <v>180</v>
      </c>
      <c r="B9" s="23" t="s">
        <v>324</v>
      </c>
      <c r="C9" s="75">
        <v>350</v>
      </c>
      <c r="D9" s="76" t="s">
        <v>326</v>
      </c>
      <c r="E9" s="77">
        <f>MAX(0,F8-INT($F$4*C8))</f>
        <v>15</v>
      </c>
      <c r="F9" s="77">
        <f>E9+C9</f>
        <v>365</v>
      </c>
      <c r="G9" s="77">
        <f>MAX(0,MIN($B$5,E10+G10+INT($F$4*C9))-F9)</f>
        <v>0</v>
      </c>
      <c r="H9" s="78">
        <f>IF($D$4&gt;=7,_xlfn.WORKDAY.INTL($B$4,E9,"0000000",Feriados!$A$3:$A$74),IF($D$4=6,_xlfn.WORKDAY.INTL($B$4,E9,11,Feriados!$A$3:$A$74),WORKDAY($B$4,E9,Feriados!$A$3:$A$74)))</f>
        <v>46294</v>
      </c>
      <c r="I9" s="78">
        <f>IF($D$4&gt;=7,_xlfn.WORKDAY.INTL($B$4,F9,"0000000",Feriados!$A$3:$A$74),IF($D$4=6,_xlfn.WORKDAY.INTL($B$4,F9,11,Feriados!$A$3:$A$74),WORKDAY($B$4,F9,Feriados!$A$3:$A$74)))</f>
        <v>46804</v>
      </c>
      <c r="J9" s="79" t="str">
        <f>IF(G9=0,"SIM","")</f>
        <v>SIM</v>
      </c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</row>
    <row r="10" spans="1:108" x14ac:dyDescent="0.25">
      <c r="A10" s="27" t="s">
        <v>181</v>
      </c>
      <c r="B10" s="27" t="s">
        <v>327</v>
      </c>
      <c r="C10" s="75">
        <v>128</v>
      </c>
      <c r="D10" s="80" t="s">
        <v>328</v>
      </c>
      <c r="E10" s="81">
        <f>MAX(0,F9-INT($F$4*C9))</f>
        <v>313</v>
      </c>
      <c r="F10" s="81">
        <f>E10+C10</f>
        <v>441</v>
      </c>
      <c r="G10" s="81">
        <f>MAX(0,MIN($B$5,E11+G11+INT($F$4*C10))-F10)</f>
        <v>0</v>
      </c>
      <c r="H10" s="82">
        <f>IF($D$4&gt;=7,_xlfn.WORKDAY.INTL($B$4,E10,"0000000",Feriados!$A$3:$A$74),IF($D$4=6,_xlfn.WORKDAY.INTL($B$4,E10,11,Feriados!$A$3:$A$74),WORKDAY($B$4,E10,Feriados!$A$3:$A$74)))</f>
        <v>46730</v>
      </c>
      <c r="I10" s="82">
        <f>IF($D$4&gt;=7,_xlfn.WORKDAY.INTL($B$4,F10,"0000000",Feriados!$A$3:$A$74),IF($D$4=6,_xlfn.WORKDAY.INTL($B$4,F10,11,Feriados!$A$3:$A$74),WORKDAY($B$4,F10,Feriados!$A$3:$A$74)))</f>
        <v>46917</v>
      </c>
      <c r="J10" s="83" t="str">
        <f>IF(G10=0,"SIM","")</f>
        <v>SIM</v>
      </c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</row>
    <row r="11" spans="1:108" x14ac:dyDescent="0.25">
      <c r="A11" s="23" t="s">
        <v>182</v>
      </c>
      <c r="B11" s="23" t="s">
        <v>67</v>
      </c>
      <c r="C11" s="75">
        <v>10</v>
      </c>
      <c r="D11" s="76" t="s">
        <v>329</v>
      </c>
      <c r="E11" s="77">
        <f>MAX(0,F10-INT($F$4*C10))</f>
        <v>422</v>
      </c>
      <c r="F11" s="77">
        <f>E11+C11</f>
        <v>432</v>
      </c>
      <c r="G11" s="77">
        <f>MAX(0,MIN($B$5,E12+G12+INT($F$4*C11))-F11)</f>
        <v>0</v>
      </c>
      <c r="H11" s="78">
        <f>IF($D$4&gt;=7,_xlfn.WORKDAY.INTL($B$4,E11,"0000000",Feriados!$A$3:$A$74),IF($D$4=6,_xlfn.WORKDAY.INTL($B$4,E11,11,Feriados!$A$3:$A$74),WORKDAY($B$4,E11,Feriados!$A$3:$A$74)))</f>
        <v>46890</v>
      </c>
      <c r="I11" s="78">
        <f>IF($D$4&gt;=7,_xlfn.WORKDAY.INTL($B$4,F11,"0000000",Feriados!$A$3:$A$74),IF($D$4=6,_xlfn.WORKDAY.INTL($B$4,F11,11,Feriados!$A$3:$A$74),WORKDAY($B$4,F11,Feriados!$A$3:$A$74)))</f>
        <v>46904</v>
      </c>
      <c r="J11" s="79" t="str">
        <f>IF(G11=0,"SIM","")</f>
        <v>SIM</v>
      </c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</row>
    <row r="12" spans="1:108" x14ac:dyDescent="0.25">
      <c r="A12" s="27" t="s">
        <v>183</v>
      </c>
      <c r="B12" s="27" t="s">
        <v>327</v>
      </c>
      <c r="C12" s="75">
        <v>39</v>
      </c>
      <c r="D12" s="80" t="s">
        <v>330</v>
      </c>
      <c r="E12" s="81">
        <f>MAX(0,F11-INT($F$4*C11))</f>
        <v>431</v>
      </c>
      <c r="F12" s="81">
        <f>E12+C12</f>
        <v>470</v>
      </c>
      <c r="G12" s="81">
        <f>MAX(0,MIN($B$5)-F12)</f>
        <v>0</v>
      </c>
      <c r="H12" s="82">
        <f>IF($D$4&gt;=7,_xlfn.WORKDAY.INTL($B$4,E12,"0000000",Feriados!$A$3:$A$74),IF($D$4=6,_xlfn.WORKDAY.INTL($B$4,E12,11,Feriados!$A$3:$A$74),WORKDAY($B$4,E12,Feriados!$A$3:$A$74)))</f>
        <v>46903</v>
      </c>
      <c r="I12" s="82">
        <f>IF($D$4&gt;=7,_xlfn.WORKDAY.INTL($B$4,F12,"0000000",Feriados!$A$3:$A$74),IF($D$4=6,_xlfn.WORKDAY.INTL($B$4,F12,11,Feriados!$A$3:$A$74),WORKDAY($B$4,F12,Feriados!$A$3:$A$74)))</f>
        <v>46959</v>
      </c>
      <c r="J12" s="83" t="str">
        <f>IF(G12=0,"SIM","")</f>
        <v>SIM</v>
      </c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</row>
    <row r="14" spans="1:1" x14ac:dyDescent="0.25">
      <c r="A14" s="11" t="s">
        <v>331</v>
      </c>
    </row>
    <row r="15" spans="1:1" x14ac:dyDescent="0.25">
      <c r="A15" s="84" t="s">
        <v>322</v>
      </c>
    </row>
    <row r="16" spans="1:1" x14ac:dyDescent="0.25">
      <c r="A16" s="85" t="s">
        <v>324</v>
      </c>
    </row>
    <row r="17" spans="1:1" x14ac:dyDescent="0.25">
      <c r="A17" s="86" t="s">
        <v>327</v>
      </c>
    </row>
    <row r="18" spans="1:1" x14ac:dyDescent="0.25">
      <c r="A18" s="87" t="s">
        <v>67</v>
      </c>
    </row>
    <row r="19" spans="1:1" x14ac:dyDescent="0.25">
      <c r="A19" s="88" t="s">
        <v>332</v>
      </c>
    </row>
    <row r="20" spans="1:1" x14ac:dyDescent="0.25">
      <c r="A20" s="21" t="s">
        <v>333</v>
      </c>
    </row>
    <row r="21" ht="36" customHeight="1" spans="1:108" x14ac:dyDescent="0.25">
      <c r="A21" s="13" t="s">
        <v>334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</row>
  </sheetData>
  <sheetProtection sheet="1" sort="0" autoFilter="0" algorithmName="SHA-512" hashValue="wCfkcYf0TLz2mpoAWiJTXNfbgmQyaAduSC9SJM2Nu1UyU49hm6TmHT5HCsXtNSqGDYVKfwwAfMa52Itd4cjNWg==" saltValue="bw5xhGMWXY/q36Go/5sWiA==" spinCount="100000"/>
  <mergeCells count="6">
    <mergeCell ref="A1:DD1"/>
    <mergeCell ref="A2:DD2"/>
    <mergeCell ref="A3:DD3"/>
    <mergeCell ref="G4:J4"/>
    <mergeCell ref="F5:G5"/>
    <mergeCell ref="A21:DD21"/>
  </mergeCells>
  <conditionalFormatting sqref="K7:DD7">
    <cfRule type="expression" dxfId="0" priority="1">
      <formula>AND(AND(K$6&gt;INT($E7/$D$4),K$6&lt;=MAX(INT($E7/$D$4)+1,ROUNDUP($F7/$D$4,0))),$J7="SIM")</formula>
    </cfRule>
    <cfRule type="expression" dxfId="1" priority="2">
      <formula>AND(K$6&gt;INT($E7/$D$4),K$6&lt;=MAX(INT($E7/$D$4)+1,ROUNDUP($F7/$D$4,0)))</formula>
    </cfRule>
  </conditionalFormatting>
  <conditionalFormatting sqref="K8:DD8">
    <cfRule type="expression" dxfId="2" priority="3">
      <formula>AND(AND(K$6&gt;INT($E8/$D$4),K$6&lt;=MAX(INT($E8/$D$4)+1,ROUNDUP($F8/$D$4,0))),$J8="SIM")</formula>
    </cfRule>
    <cfRule type="expression" dxfId="3" priority="4">
      <formula>AND(K$6&gt;INT($E8/$D$4),K$6&lt;=MAX(INT($E8/$D$4)+1,ROUNDUP($F8/$D$4,0)))</formula>
    </cfRule>
  </conditionalFormatting>
  <conditionalFormatting sqref="K9:DD9">
    <cfRule type="expression" dxfId="4" priority="5">
      <formula>AND(AND(K$6&gt;INT($E9/$D$4),K$6&lt;=MAX(INT($E9/$D$4)+1,ROUNDUP($F9/$D$4,0))),$J9="SIM")</formula>
    </cfRule>
    <cfRule type="expression" dxfId="5" priority="6">
      <formula>AND(K$6&gt;INT($E9/$D$4),K$6&lt;=MAX(INT($E9/$D$4)+1,ROUNDUP($F9/$D$4,0)))</formula>
    </cfRule>
  </conditionalFormatting>
  <conditionalFormatting sqref="K10:DD10">
    <cfRule type="expression" dxfId="6" priority="7">
      <formula>AND(AND(K$6&gt;INT($E10/$D$4),K$6&lt;=MAX(INT($E10/$D$4)+1,ROUNDUP($F10/$D$4,0))),$J10="SIM")</formula>
    </cfRule>
    <cfRule type="expression" dxfId="7" priority="8">
      <formula>AND(K$6&gt;INT($E10/$D$4),K$6&lt;=MAX(INT($E10/$D$4)+1,ROUNDUP($F10/$D$4,0)))</formula>
    </cfRule>
  </conditionalFormatting>
  <conditionalFormatting sqref="K11:DD11">
    <cfRule type="expression" dxfId="8" priority="9">
      <formula>AND(AND(K$6&gt;INT($E11/$D$4),K$6&lt;=MAX(INT($E11/$D$4)+1,ROUNDUP($F11/$D$4,0))),$J11="SIM")</formula>
    </cfRule>
    <cfRule type="expression" dxfId="9" priority="10">
      <formula>AND(K$6&gt;INT($E11/$D$4),K$6&lt;=MAX(INT($E11/$D$4)+1,ROUNDUP($F11/$D$4,0)))</formula>
    </cfRule>
  </conditionalFormatting>
  <conditionalFormatting sqref="K12:DD12">
    <cfRule type="expression" dxfId="10" priority="11">
      <formula>AND(AND(K$6&gt;INT($E12/$D$4),K$6&lt;=MAX(INT($E12/$D$4)+1,ROUNDUP($F12/$D$4,0))),$J12="SIM")</formula>
    </cfRule>
    <cfRule type="expression" dxfId="11" priority="12">
      <formula>AND(K$6&gt;INT($E12/$D$4),K$6&lt;=MAX(INT($E12/$D$4)+1,ROUNDUP($F12/$D$4,0)))</formula>
    </cfRule>
  </conditionalFormatting>
  <dataValidations count="5">
    <dataValidation type="date" operator="greaterThan" showErrorMessage="1" errorTitle="Data de início" error="Informe uma data (dd/mm/aaaa)." sqref="B4">
      <formula1>36526</formula1>
    </dataValidation>
    <dataValidation type="whole" operator="greaterThanOrEqual" showErrorMessage="1" errorTitle="Duração" error="Dias úteis, inteiro ≥ 0 (0 = marco)." sqref="C10:C12">
      <formula1>0</formula1>
    </dataValidation>
    <dataValidation type="whole" operator="greaterThanOrEqual" showErrorMessage="1" errorTitle="Duração" error="Dias úteis, inteiro ≥ 0 (0 = marco)." sqref="C7:C12">
      <formula1>0</formula1>
    </dataValidation>
    <dataValidation type="list" showErrorMessage="1" errorTitle="Dias úteis por semana" error="Use 5 (seg–sex), 6 (seg–sáb) ou 7 (corrido)." sqref="D4">
      <formula1>"5,6,7"</formula1>
    </dataValidation>
    <dataValidation type="decimal" showErrorMessage="1" errorTitle="Paralelismo" error="Fração da etapa anterior que a seguinte já começa sobreposta: entre 0% e 90%." sqref="F4">
      <formula1>0</formula1>
      <formula2>0.9</formula2>
    </dataValidation>
  </dataValidations>
  <pageMargins left="0.4" right="0.4" top="0.55" bottom="0.55" header="0.2" footer="0.25"/>
  <pageSetup paperSize="9" orientation="landscape" fitToWidth="1" fitToHeight="0"/>
  <headerFooter>
    <oddFooter>&amp;L&amp;8OrçaPRO — ORC-2026-4384&amp;C&amp;8Construtora Modelo Ltda&amp;R&amp;8Pág. &amp;P de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4A3B8"/>
  </sheetPr>
  <dimension ref="A1:C76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42" customWidth="1"/>
    <col min="3" max="3" width="20" customWidth="1"/>
  </cols>
  <sheetData>
    <row r="1" spans="1:3" x14ac:dyDescent="0.25">
      <c r="A1" s="89" t="s">
        <v>335</v>
      </c>
      <c r="B1" s="89"/>
      <c r="C1" s="89"/>
    </row>
    <row r="2" spans="1:3" x14ac:dyDescent="0.25">
      <c r="A2" s="22" t="s">
        <v>336</v>
      </c>
      <c r="B2" s="22" t="s">
        <v>337</v>
      </c>
      <c r="C2" s="22" t="s">
        <v>188</v>
      </c>
    </row>
    <row r="3" spans="1:3" x14ac:dyDescent="0.25">
      <c r="A3" s="90">
        <v>46023</v>
      </c>
      <c r="B3" s="91" t="s">
        <v>338</v>
      </c>
      <c r="C3" s="91" t="s">
        <v>339</v>
      </c>
    </row>
    <row r="4" spans="1:3" x14ac:dyDescent="0.25">
      <c r="A4" s="90">
        <v>46069</v>
      </c>
      <c r="B4" s="91" t="s">
        <v>340</v>
      </c>
      <c r="C4" s="91" t="s">
        <v>341</v>
      </c>
    </row>
    <row r="5" spans="1:3" x14ac:dyDescent="0.25">
      <c r="A5" s="90">
        <v>46070</v>
      </c>
      <c r="B5" s="91" t="s">
        <v>342</v>
      </c>
      <c r="C5" s="91" t="s">
        <v>341</v>
      </c>
    </row>
    <row r="6" spans="1:3" x14ac:dyDescent="0.25">
      <c r="A6" s="90">
        <v>46115</v>
      </c>
      <c r="B6" s="91" t="s">
        <v>343</v>
      </c>
      <c r="C6" s="91" t="s">
        <v>339</v>
      </c>
    </row>
    <row r="7" spans="1:3" x14ac:dyDescent="0.25">
      <c r="A7" s="90">
        <v>46133</v>
      </c>
      <c r="B7" s="91" t="s">
        <v>344</v>
      </c>
      <c r="C7" s="91" t="s">
        <v>339</v>
      </c>
    </row>
    <row r="8" spans="1:3" x14ac:dyDescent="0.25">
      <c r="A8" s="90">
        <v>46143</v>
      </c>
      <c r="B8" s="91" t="s">
        <v>345</v>
      </c>
      <c r="C8" s="91" t="s">
        <v>339</v>
      </c>
    </row>
    <row r="9" spans="1:3" x14ac:dyDescent="0.25">
      <c r="A9" s="90">
        <v>46177</v>
      </c>
      <c r="B9" s="91" t="s">
        <v>346</v>
      </c>
      <c r="C9" s="91" t="s">
        <v>341</v>
      </c>
    </row>
    <row r="10" spans="1:3" x14ac:dyDescent="0.25">
      <c r="A10" s="90">
        <v>46272</v>
      </c>
      <c r="B10" s="91" t="s">
        <v>347</v>
      </c>
      <c r="C10" s="91" t="s">
        <v>339</v>
      </c>
    </row>
    <row r="11" spans="1:3" x14ac:dyDescent="0.25">
      <c r="A11" s="90">
        <v>46307</v>
      </c>
      <c r="B11" s="91" t="s">
        <v>348</v>
      </c>
      <c r="C11" s="91" t="s">
        <v>339</v>
      </c>
    </row>
    <row r="12" spans="1:3" x14ac:dyDescent="0.25">
      <c r="A12" s="90">
        <v>46328</v>
      </c>
      <c r="B12" s="91" t="s">
        <v>349</v>
      </c>
      <c r="C12" s="91" t="s">
        <v>339</v>
      </c>
    </row>
    <row r="13" spans="1:3" x14ac:dyDescent="0.25">
      <c r="A13" s="90">
        <v>46341</v>
      </c>
      <c r="B13" s="91" t="s">
        <v>350</v>
      </c>
      <c r="C13" s="91" t="s">
        <v>339</v>
      </c>
    </row>
    <row r="14" spans="1:3" x14ac:dyDescent="0.25">
      <c r="A14" s="90">
        <v>46346</v>
      </c>
      <c r="B14" s="91" t="s">
        <v>351</v>
      </c>
      <c r="C14" s="91" t="s">
        <v>339</v>
      </c>
    </row>
    <row r="15" spans="1:3" x14ac:dyDescent="0.25">
      <c r="A15" s="90">
        <v>46381</v>
      </c>
      <c r="B15" s="91" t="s">
        <v>352</v>
      </c>
      <c r="C15" s="91" t="s">
        <v>339</v>
      </c>
    </row>
    <row r="16" spans="1:3" x14ac:dyDescent="0.25">
      <c r="A16" s="90">
        <v>46388</v>
      </c>
      <c r="B16" s="91" t="s">
        <v>338</v>
      </c>
      <c r="C16" s="91" t="s">
        <v>339</v>
      </c>
    </row>
    <row r="17" spans="1:3" x14ac:dyDescent="0.25">
      <c r="A17" s="90">
        <v>46426</v>
      </c>
      <c r="B17" s="91" t="s">
        <v>340</v>
      </c>
      <c r="C17" s="91" t="s">
        <v>341</v>
      </c>
    </row>
    <row r="18" spans="1:3" x14ac:dyDescent="0.25">
      <c r="A18" s="90">
        <v>46427</v>
      </c>
      <c r="B18" s="91" t="s">
        <v>342</v>
      </c>
      <c r="C18" s="91" t="s">
        <v>341</v>
      </c>
    </row>
    <row r="19" spans="1:3" x14ac:dyDescent="0.25">
      <c r="A19" s="90">
        <v>46472</v>
      </c>
      <c r="B19" s="91" t="s">
        <v>343</v>
      </c>
      <c r="C19" s="91" t="s">
        <v>339</v>
      </c>
    </row>
    <row r="20" spans="1:3" x14ac:dyDescent="0.25">
      <c r="A20" s="90">
        <v>46498</v>
      </c>
      <c r="B20" s="91" t="s">
        <v>344</v>
      </c>
      <c r="C20" s="91" t="s">
        <v>339</v>
      </c>
    </row>
    <row r="21" spans="1:3" x14ac:dyDescent="0.25">
      <c r="A21" s="90">
        <v>46508</v>
      </c>
      <c r="B21" s="91" t="s">
        <v>345</v>
      </c>
      <c r="C21" s="91" t="s">
        <v>339</v>
      </c>
    </row>
    <row r="22" spans="1:3" x14ac:dyDescent="0.25">
      <c r="A22" s="90">
        <v>46534</v>
      </c>
      <c r="B22" s="91" t="s">
        <v>346</v>
      </c>
      <c r="C22" s="91" t="s">
        <v>341</v>
      </c>
    </row>
    <row r="23" spans="1:3" x14ac:dyDescent="0.25">
      <c r="A23" s="90">
        <v>46637</v>
      </c>
      <c r="B23" s="91" t="s">
        <v>347</v>
      </c>
      <c r="C23" s="91" t="s">
        <v>339</v>
      </c>
    </row>
    <row r="24" spans="1:3" x14ac:dyDescent="0.25">
      <c r="A24" s="90">
        <v>46672</v>
      </c>
      <c r="B24" s="91" t="s">
        <v>348</v>
      </c>
      <c r="C24" s="91" t="s">
        <v>339</v>
      </c>
    </row>
    <row r="25" spans="1:3" x14ac:dyDescent="0.25">
      <c r="A25" s="90">
        <v>46693</v>
      </c>
      <c r="B25" s="91" t="s">
        <v>349</v>
      </c>
      <c r="C25" s="91" t="s">
        <v>339</v>
      </c>
    </row>
    <row r="26" spans="1:3" x14ac:dyDescent="0.25">
      <c r="A26" s="90">
        <v>46706</v>
      </c>
      <c r="B26" s="91" t="s">
        <v>350</v>
      </c>
      <c r="C26" s="91" t="s">
        <v>339</v>
      </c>
    </row>
    <row r="27" spans="1:3" x14ac:dyDescent="0.25">
      <c r="A27" s="90">
        <v>46711</v>
      </c>
      <c r="B27" s="91" t="s">
        <v>351</v>
      </c>
      <c r="C27" s="91" t="s">
        <v>339</v>
      </c>
    </row>
    <row r="28" spans="1:3" x14ac:dyDescent="0.25">
      <c r="A28" s="90">
        <v>46746</v>
      </c>
      <c r="B28" s="91" t="s">
        <v>352</v>
      </c>
      <c r="C28" s="91" t="s">
        <v>339</v>
      </c>
    </row>
    <row r="29" spans="1:3" x14ac:dyDescent="0.25">
      <c r="A29" s="90">
        <v>46753</v>
      </c>
      <c r="B29" s="91" t="s">
        <v>338</v>
      </c>
      <c r="C29" s="91" t="s">
        <v>339</v>
      </c>
    </row>
    <row r="30" spans="1:3" x14ac:dyDescent="0.25">
      <c r="A30" s="90">
        <v>46811</v>
      </c>
      <c r="B30" s="91" t="s">
        <v>340</v>
      </c>
      <c r="C30" s="91" t="s">
        <v>341</v>
      </c>
    </row>
    <row r="31" spans="1:3" x14ac:dyDescent="0.25">
      <c r="A31" s="90">
        <v>46812</v>
      </c>
      <c r="B31" s="91" t="s">
        <v>342</v>
      </c>
      <c r="C31" s="91" t="s">
        <v>341</v>
      </c>
    </row>
    <row r="32" spans="1:3" x14ac:dyDescent="0.25">
      <c r="A32" s="90">
        <v>46857</v>
      </c>
      <c r="B32" s="91" t="s">
        <v>343</v>
      </c>
      <c r="C32" s="91" t="s">
        <v>339</v>
      </c>
    </row>
    <row r="33" spans="1:3" x14ac:dyDescent="0.25">
      <c r="A33" s="90">
        <v>46864</v>
      </c>
      <c r="B33" s="91" t="s">
        <v>344</v>
      </c>
      <c r="C33" s="91" t="s">
        <v>339</v>
      </c>
    </row>
    <row r="34" spans="1:3" x14ac:dyDescent="0.25">
      <c r="A34" s="90">
        <v>46874</v>
      </c>
      <c r="B34" s="91" t="s">
        <v>345</v>
      </c>
      <c r="C34" s="91" t="s">
        <v>339</v>
      </c>
    </row>
    <row r="35" spans="1:3" x14ac:dyDescent="0.25">
      <c r="A35" s="90">
        <v>46919</v>
      </c>
      <c r="B35" s="91" t="s">
        <v>346</v>
      </c>
      <c r="C35" s="91" t="s">
        <v>341</v>
      </c>
    </row>
    <row r="36" spans="1:3" x14ac:dyDescent="0.25">
      <c r="A36" s="90">
        <v>47003</v>
      </c>
      <c r="B36" s="91" t="s">
        <v>347</v>
      </c>
      <c r="C36" s="91" t="s">
        <v>339</v>
      </c>
    </row>
    <row r="37" spans="1:3" x14ac:dyDescent="0.25">
      <c r="A37" s="90">
        <v>47038</v>
      </c>
      <c r="B37" s="91" t="s">
        <v>348</v>
      </c>
      <c r="C37" s="91" t="s">
        <v>339</v>
      </c>
    </row>
    <row r="38" spans="1:3" x14ac:dyDescent="0.25">
      <c r="A38" s="90">
        <v>47059</v>
      </c>
      <c r="B38" s="91" t="s">
        <v>349</v>
      </c>
      <c r="C38" s="91" t="s">
        <v>339</v>
      </c>
    </row>
    <row r="39" spans="1:3" x14ac:dyDescent="0.25">
      <c r="A39" s="90">
        <v>47072</v>
      </c>
      <c r="B39" s="91" t="s">
        <v>350</v>
      </c>
      <c r="C39" s="91" t="s">
        <v>339</v>
      </c>
    </row>
    <row r="40" spans="1:3" x14ac:dyDescent="0.25">
      <c r="A40" s="90">
        <v>47077</v>
      </c>
      <c r="B40" s="91" t="s">
        <v>351</v>
      </c>
      <c r="C40" s="91" t="s">
        <v>339</v>
      </c>
    </row>
    <row r="41" spans="1:3" x14ac:dyDescent="0.25">
      <c r="A41" s="90">
        <v>47112</v>
      </c>
      <c r="B41" s="91" t="s">
        <v>352</v>
      </c>
      <c r="C41" s="91" t="s">
        <v>339</v>
      </c>
    </row>
    <row r="42" spans="1:3" x14ac:dyDescent="0.25">
      <c r="A42" s="90">
        <v>47119</v>
      </c>
      <c r="B42" s="91" t="s">
        <v>338</v>
      </c>
      <c r="C42" s="91" t="s">
        <v>339</v>
      </c>
    </row>
    <row r="43" spans="1:3" x14ac:dyDescent="0.25">
      <c r="A43" s="90">
        <v>47161</v>
      </c>
      <c r="B43" s="91" t="s">
        <v>340</v>
      </c>
      <c r="C43" s="91" t="s">
        <v>341</v>
      </c>
    </row>
    <row r="44" spans="1:3" x14ac:dyDescent="0.25">
      <c r="A44" s="90">
        <v>47162</v>
      </c>
      <c r="B44" s="91" t="s">
        <v>342</v>
      </c>
      <c r="C44" s="91" t="s">
        <v>341</v>
      </c>
    </row>
    <row r="45" spans="1:3" x14ac:dyDescent="0.25">
      <c r="A45" s="90">
        <v>47207</v>
      </c>
      <c r="B45" s="91" t="s">
        <v>343</v>
      </c>
      <c r="C45" s="91" t="s">
        <v>339</v>
      </c>
    </row>
    <row r="46" spans="1:3" x14ac:dyDescent="0.25">
      <c r="A46" s="90">
        <v>47229</v>
      </c>
      <c r="B46" s="91" t="s">
        <v>344</v>
      </c>
      <c r="C46" s="91" t="s">
        <v>339</v>
      </c>
    </row>
    <row r="47" spans="1:3" x14ac:dyDescent="0.25">
      <c r="A47" s="90">
        <v>47239</v>
      </c>
      <c r="B47" s="91" t="s">
        <v>345</v>
      </c>
      <c r="C47" s="91" t="s">
        <v>339</v>
      </c>
    </row>
    <row r="48" spans="1:3" x14ac:dyDescent="0.25">
      <c r="A48" s="90">
        <v>47269</v>
      </c>
      <c r="B48" s="91" t="s">
        <v>346</v>
      </c>
      <c r="C48" s="91" t="s">
        <v>341</v>
      </c>
    </row>
    <row r="49" spans="1:3" x14ac:dyDescent="0.25">
      <c r="A49" s="90">
        <v>47368</v>
      </c>
      <c r="B49" s="91" t="s">
        <v>347</v>
      </c>
      <c r="C49" s="91" t="s">
        <v>339</v>
      </c>
    </row>
    <row r="50" spans="1:3" x14ac:dyDescent="0.25">
      <c r="A50" s="90">
        <v>47403</v>
      </c>
      <c r="B50" s="91" t="s">
        <v>348</v>
      </c>
      <c r="C50" s="91" t="s">
        <v>339</v>
      </c>
    </row>
    <row r="51" spans="1:3" x14ac:dyDescent="0.25">
      <c r="A51" s="90">
        <v>47424</v>
      </c>
      <c r="B51" s="91" t="s">
        <v>349</v>
      </c>
      <c r="C51" s="91" t="s">
        <v>339</v>
      </c>
    </row>
    <row r="52" spans="1:3" x14ac:dyDescent="0.25">
      <c r="A52" s="90">
        <v>47437</v>
      </c>
      <c r="B52" s="91" t="s">
        <v>350</v>
      </c>
      <c r="C52" s="91" t="s">
        <v>339</v>
      </c>
    </row>
    <row r="53" spans="1:3" x14ac:dyDescent="0.25">
      <c r="A53" s="90">
        <v>47442</v>
      </c>
      <c r="B53" s="91" t="s">
        <v>351</v>
      </c>
      <c r="C53" s="91" t="s">
        <v>339</v>
      </c>
    </row>
    <row r="54" spans="1:3" x14ac:dyDescent="0.25">
      <c r="A54" s="90">
        <v>47477</v>
      </c>
      <c r="B54" s="91" t="s">
        <v>352</v>
      </c>
      <c r="C54" s="91" t="s">
        <v>339</v>
      </c>
    </row>
    <row r="55" spans="1:3" x14ac:dyDescent="0.25">
      <c r="A55" s="92"/>
      <c r="B55" s="91"/>
      <c r="C55" s="91"/>
    </row>
    <row r="56" spans="1:3" x14ac:dyDescent="0.25">
      <c r="A56" s="92"/>
      <c r="B56" s="91"/>
      <c r="C56" s="91"/>
    </row>
    <row r="57" spans="1:3" x14ac:dyDescent="0.25">
      <c r="A57" s="92"/>
      <c r="B57" s="91"/>
      <c r="C57" s="91"/>
    </row>
    <row r="58" spans="1:3" x14ac:dyDescent="0.25">
      <c r="A58" s="92"/>
      <c r="B58" s="91"/>
      <c r="C58" s="91"/>
    </row>
    <row r="59" spans="1:3" x14ac:dyDescent="0.25">
      <c r="A59" s="92"/>
      <c r="B59" s="91"/>
      <c r="C59" s="91"/>
    </row>
    <row r="60" spans="1:3" x14ac:dyDescent="0.25">
      <c r="A60" s="92"/>
      <c r="B60" s="91"/>
      <c r="C60" s="91"/>
    </row>
    <row r="61" spans="1:3" x14ac:dyDescent="0.25">
      <c r="A61" s="92"/>
      <c r="B61" s="91"/>
      <c r="C61" s="91"/>
    </row>
    <row r="62" spans="1:3" x14ac:dyDescent="0.25">
      <c r="A62" s="92"/>
      <c r="B62" s="91"/>
      <c r="C62" s="91"/>
    </row>
    <row r="63" spans="1:3" x14ac:dyDescent="0.25">
      <c r="A63" s="92"/>
      <c r="B63" s="91"/>
      <c r="C63" s="91"/>
    </row>
    <row r="64" spans="1:3" x14ac:dyDescent="0.25">
      <c r="A64" s="92"/>
      <c r="B64" s="91"/>
      <c r="C64" s="91"/>
    </row>
    <row r="65" spans="1:3" x14ac:dyDescent="0.25">
      <c r="A65" s="92"/>
      <c r="B65" s="91"/>
      <c r="C65" s="91"/>
    </row>
    <row r="66" spans="1:3" x14ac:dyDescent="0.25">
      <c r="A66" s="92"/>
      <c r="B66" s="91"/>
      <c r="C66" s="91"/>
    </row>
    <row r="67" spans="1:3" x14ac:dyDescent="0.25">
      <c r="A67" s="92"/>
      <c r="B67" s="91"/>
      <c r="C67" s="91"/>
    </row>
    <row r="68" spans="1:3" x14ac:dyDescent="0.25">
      <c r="A68" s="92"/>
      <c r="B68" s="91"/>
      <c r="C68" s="91"/>
    </row>
    <row r="69" spans="1:3" x14ac:dyDescent="0.25">
      <c r="A69" s="92"/>
      <c r="B69" s="91"/>
      <c r="C69" s="91"/>
    </row>
    <row r="70" spans="1:3" x14ac:dyDescent="0.25">
      <c r="A70" s="92"/>
      <c r="B70" s="91"/>
      <c r="C70" s="91"/>
    </row>
    <row r="71" spans="1:3" x14ac:dyDescent="0.25">
      <c r="A71" s="92"/>
      <c r="B71" s="91"/>
      <c r="C71" s="91"/>
    </row>
    <row r="72" spans="1:3" x14ac:dyDescent="0.25">
      <c r="A72" s="92"/>
      <c r="B72" s="91"/>
      <c r="C72" s="91"/>
    </row>
    <row r="73" spans="1:3" x14ac:dyDescent="0.25">
      <c r="A73" s="92"/>
      <c r="B73" s="91"/>
      <c r="C73" s="91"/>
    </row>
    <row r="74" spans="1:3" x14ac:dyDescent="0.25">
      <c r="A74" s="92"/>
      <c r="B74" s="91"/>
      <c r="C74" s="91"/>
    </row>
    <row r="76" spans="1:3" x14ac:dyDescent="0.25">
      <c r="A76" s="93" t="s">
        <v>353</v>
      </c>
      <c r="B76" s="93"/>
      <c r="C76" s="93"/>
    </row>
  </sheetData>
  <sheetProtection sheet="1" sort="0" autoFilter="0" algorithmName="SHA-512" hashValue="J5EXT/ny6v1fFuNH5p2inbjdGRZXaRXnYUhsGstSUdHR+RG5m32mF1Majc9WQ+CRnATJQagDVQuSQmdvvbH5mg==" saltValue="KmPKF74QfgylGkmM/6XWeg==" spinCount="100000"/>
  <mergeCells count="2">
    <mergeCell ref="A1:C1"/>
    <mergeCell ref="A76:C7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C4899"/>
    <pageSetUpPr fitToPage="1"/>
  </sheetPr>
  <dimension ref="A1:B69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130" customWidth="1"/>
  </cols>
  <sheetData>
    <row r="1" spans="1:2" x14ac:dyDescent="0.25">
      <c r="A1" s="1" t="s">
        <v>0</v>
      </c>
      <c r="B1" s="1"/>
    </row>
    <row r="2" spans="1:2" x14ac:dyDescent="0.25">
      <c r="A2" s="2" t="s">
        <v>354</v>
      </c>
      <c r="B2" s="2"/>
    </row>
    <row r="4" spans="2:2" x14ac:dyDescent="0.25">
      <c r="B4" s="94" t="s">
        <v>355</v>
      </c>
    </row>
    <row r="38" spans="2:2" x14ac:dyDescent="0.25">
      <c r="B38" s="94" t="s">
        <v>356</v>
      </c>
    </row>
    <row r="69" spans="2:2" x14ac:dyDescent="0.25">
      <c r="B69" s="94" t="s">
        <v>357</v>
      </c>
    </row>
  </sheetData>
  <mergeCells count="2">
    <mergeCell ref="A1:B1"/>
    <mergeCell ref="A2:B2"/>
  </mergeCells>
  <pageMargins left="0.4" right="0.4" top="0.55" bottom="0.55" header="0.2" footer="0.25"/>
  <pageSetup paperSize="9" orientation="portrait" fitToWidth="1" fitToHeight="0"/>
  <headerFooter>
    <oddFooter>&amp;L&amp;8OrçaPRO — ORC-2026-4384&amp;C&amp;8Construtora Modelo Ltda&amp;R&amp;8Pág. &amp;P de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748B"/>
    <pageSetUpPr fitToPage="1"/>
  </sheetPr>
  <dimension ref="A1:K17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6" customWidth="1"/>
    <col min="3" max="3" width="11" customWidth="1"/>
    <col min="4" max="4" width="10" customWidth="1"/>
    <col min="5" max="5" width="50" customWidth="1"/>
    <col min="6" max="6" width="6" customWidth="1"/>
    <col min="7" max="7" width="10" customWidth="1"/>
    <col min="8" max="10" width="13" customWidth="1"/>
    <col min="11" max="11" width="14" customWidth="1"/>
  </cols>
  <sheetData>
    <row r="1" spans="1:1" x14ac:dyDescent="0.25">
      <c r="A1" s="95" t="s">
        <v>358</v>
      </c>
    </row>
    <row r="2" spans="1:11" x14ac:dyDescent="0.25">
      <c r="A2" t="s">
        <v>53</v>
      </c>
      <c r="B2" t="s">
        <v>52</v>
      </c>
      <c r="C2" t="s">
        <v>359</v>
      </c>
      <c r="D2" t="s">
        <v>75</v>
      </c>
      <c r="E2" t="s">
        <v>360</v>
      </c>
      <c r="F2" t="s">
        <v>77</v>
      </c>
      <c r="G2" t="s">
        <v>78</v>
      </c>
      <c r="H2" t="s">
        <v>361</v>
      </c>
      <c r="I2" t="s">
        <v>362</v>
      </c>
      <c r="J2" t="s">
        <v>363</v>
      </c>
      <c r="K2" t="s">
        <v>364</v>
      </c>
    </row>
    <row r="3" spans="1:11" x14ac:dyDescent="0.25">
      <c r="A3" t="s">
        <v>90</v>
      </c>
      <c r="B3">
        <v>1</v>
      </c>
      <c r="C3" t="str">
        <f>'Analítica'!B8</f>
        <v>99059</v>
      </c>
      <c r="D3" t="str">
        <f>'Analítica'!C8</f>
        <v/>
      </c>
      <c r="E3" t="str">
        <f>'Analítica'!D8</f>
        <v>LOCAÇÃO CONVENCIONAL DE OBRA, UTILIZANDO GABARITO DE TÁBUAS CORRIDAS PONTALETADAS A CADA 2,00M - 2 UTILIZAÇÕES. AF_03/2024</v>
      </c>
      <c r="F3" t="str">
        <f>'Analítica'!E8</f>
        <v>m</v>
      </c>
      <c r="G3" s="96">
        <f>'Analítica'!F8</f>
        <v>180</v>
      </c>
      <c r="H3" s="41">
        <f>'Analítica'!G8</f>
        <v>78.54</v>
      </c>
      <c r="I3" s="41">
        <f>'Analítica'!H8</f>
        <v>14137.2</v>
      </c>
      <c r="J3" s="41">
        <f>'Analítica'!I8</f>
        <v>99.76</v>
      </c>
      <c r="K3" s="41">
        <f>'Analítica'!J8</f>
        <v>17956.8</v>
      </c>
    </row>
    <row r="4" spans="1:11" x14ac:dyDescent="0.25">
      <c r="A4" t="s">
        <v>90</v>
      </c>
      <c r="B4">
        <v>2</v>
      </c>
      <c r="C4" t="str">
        <f>'Analítica'!B9</f>
        <v>—</v>
      </c>
      <c r="D4" t="str">
        <f>'Analítica'!C9</f>
        <v/>
      </c>
      <c r="E4" t="str">
        <f>'Analítica'!D9</f>
        <v>Instalação provisória de canteiro (água/energia/tapume)</v>
      </c>
      <c r="F4" t="str">
        <f>'Analítica'!E9</f>
        <v>un</v>
      </c>
      <c r="G4" s="96">
        <f>'Analítica'!F9</f>
        <v>1</v>
      </c>
      <c r="H4" s="41">
        <f>'Analítica'!G9</f>
        <v>3500</v>
      </c>
      <c r="I4" s="41">
        <f>'Analítica'!H9</f>
        <v>3500</v>
      </c>
      <c r="J4" s="41">
        <f>'Analítica'!I9</f>
        <v>4446.05</v>
      </c>
      <c r="K4" s="41">
        <f>'Analítica'!J9</f>
        <v>4446.05</v>
      </c>
    </row>
    <row r="5" spans="1:11" x14ac:dyDescent="0.25">
      <c r="A5" t="s">
        <v>102</v>
      </c>
      <c r="B5">
        <v>3</v>
      </c>
      <c r="C5" t="str">
        <f>'Analítica'!B12</f>
        <v>96523</v>
      </c>
      <c r="D5" t="str">
        <f>'Analítica'!C12</f>
        <v/>
      </c>
      <c r="E5" t="str">
        <f>'Analítica'!D12</f>
        <v>ESCAVAÇÃO MANUAL PARA BLOCO DE COROAMENTO OU SAPATA (INCLUINDO ESCAVAÇÃO PARA COLOCAÇÃO DE FÔRMAS). AF_01/2024</v>
      </c>
      <c r="F5" t="str">
        <f>'Analítica'!E12</f>
        <v>m³</v>
      </c>
      <c r="G5" s="96">
        <f>'Analítica'!F12</f>
        <v>42</v>
      </c>
      <c r="H5" s="41">
        <f>'Analítica'!G12</f>
        <v>110.24</v>
      </c>
      <c r="I5" s="41">
        <f>'Analítica'!H12</f>
        <v>4630.08</v>
      </c>
      <c r="J5" s="41">
        <f>'Analítica'!I12</f>
        <v>140.03</v>
      </c>
      <c r="K5" s="41">
        <f>'Analítica'!J12</f>
        <v>5881.26</v>
      </c>
    </row>
    <row r="6" spans="1:11" x14ac:dyDescent="0.25">
      <c r="A6" t="s">
        <v>102</v>
      </c>
      <c r="B6">
        <v>4</v>
      </c>
      <c r="C6" t="str">
        <f>'Analítica'!B13</f>
        <v>—</v>
      </c>
      <c r="D6" t="str">
        <f>'Analítica'!C13</f>
        <v/>
      </c>
      <c r="E6" t="str">
        <f>'Analítica'!D13</f>
        <v>Concreto magro para lastro (preparo em obra)</v>
      </c>
      <c r="F6" t="str">
        <f>'Analítica'!E13</f>
        <v>m³</v>
      </c>
      <c r="G6" s="96">
        <f>'Analítica'!F13</f>
        <v>6</v>
      </c>
      <c r="H6" s="41">
        <f>'Analítica'!G13</f>
        <v>495</v>
      </c>
      <c r="I6" s="41">
        <f>'Analítica'!H13</f>
        <v>2970</v>
      </c>
      <c r="J6" s="41">
        <f>'Analítica'!I13</f>
        <v>628.79</v>
      </c>
      <c r="K6" s="41">
        <f>'Analítica'!J13</f>
        <v>3772.74</v>
      </c>
    </row>
    <row r="7" spans="1:11" x14ac:dyDescent="0.25">
      <c r="A7" t="s">
        <v>102</v>
      </c>
      <c r="B7">
        <v>5</v>
      </c>
      <c r="C7" t="str">
        <f>'Analítica'!B14</f>
        <v>94965</v>
      </c>
      <c r="D7" t="str">
        <f>'Analítica'!C14</f>
        <v/>
      </c>
      <c r="E7" t="str">
        <f>'Analítica'!D14</f>
        <v>CONCRETO FCK = 25MPA, TRAÇO 1:2,3:2,7 (EM MASSA SECA DE CIMENTO/ AREIA MÉDIA/ BRITA 1) - PREPARO MECÂNICO COM BETONEIRA 400 L. AF_05/2021</v>
      </c>
      <c r="F7" t="str">
        <f>'Analítica'!E14</f>
        <v>m³</v>
      </c>
      <c r="G7" s="96">
        <f>'Analítica'!F14</f>
        <v>28</v>
      </c>
      <c r="H7" s="41">
        <f>'Analítica'!G14</f>
        <v>587.43</v>
      </c>
      <c r="I7" s="41">
        <f>'Analítica'!H14</f>
        <v>16448.04</v>
      </c>
      <c r="J7" s="41">
        <f>'Analítica'!I14</f>
        <v>746.21</v>
      </c>
      <c r="K7" s="41">
        <f>'Analítica'!J14</f>
        <v>20893.88</v>
      </c>
    </row>
    <row r="8" spans="1:11" x14ac:dyDescent="0.25">
      <c r="A8" t="s">
        <v>112</v>
      </c>
      <c r="B8">
        <v>6</v>
      </c>
      <c r="C8" t="str">
        <f>'Analítica'!B17</f>
        <v>—</v>
      </c>
      <c r="D8" t="str">
        <f>'Analítica'!C17</f>
        <v/>
      </c>
      <c r="E8" t="str">
        <f>'Analítica'!D17</f>
        <v>Concretagem de pilares e vigas FCK 30 (com bomba)</v>
      </c>
      <c r="F8" t="str">
        <f>'Analítica'!E17</f>
        <v>m³</v>
      </c>
      <c r="G8" s="96">
        <f>'Analítica'!F17</f>
        <v>34</v>
      </c>
      <c r="H8" s="41">
        <f>'Analítica'!G17</f>
        <v>660</v>
      </c>
      <c r="I8" s="41">
        <f>'Analítica'!H17</f>
        <v>22440</v>
      </c>
      <c r="J8" s="41">
        <f>'Analítica'!I17</f>
        <v>838.39</v>
      </c>
      <c r="K8" s="41">
        <f>'Analítica'!J17</f>
        <v>28505.26</v>
      </c>
    </row>
    <row r="9" spans="1:11" x14ac:dyDescent="0.25">
      <c r="A9" t="s">
        <v>112</v>
      </c>
      <c r="B9">
        <v>7</v>
      </c>
      <c r="C9" t="str">
        <f>'Analítica'!B18</f>
        <v>92917</v>
      </c>
      <c r="D9" t="str">
        <f>'Analítica'!C18</f>
        <v/>
      </c>
      <c r="E9" t="str">
        <f>'Analítica'!D18</f>
        <v>ARMAÇÃO DE ESTRUTURAS DIVERSAS DE CONCRETO ARMADO, EXCETO VIGAS, PILARES, LAJES E FUNDAÇÕES, UTILIZANDO AÇO CA-50 DE 8,0 MM - MONTAGEM. AF_06/2022</v>
      </c>
      <c r="F9" t="str">
        <f>'Analítica'!E18</f>
        <v>kg</v>
      </c>
      <c r="G9" s="96">
        <f>'Analítica'!F18</f>
        <v>2800</v>
      </c>
      <c r="H9" s="41">
        <f>'Analítica'!G18</f>
        <v>13.13</v>
      </c>
      <c r="I9" s="41">
        <f>'Analítica'!H18</f>
        <v>36764</v>
      </c>
      <c r="J9" s="41">
        <f>'Analítica'!I18</f>
        <v>16.67</v>
      </c>
      <c r="K9" s="41">
        <f>'Analítica'!J18</f>
        <v>46676</v>
      </c>
    </row>
    <row r="10" spans="1:11" x14ac:dyDescent="0.25">
      <c r="A10" t="s">
        <v>112</v>
      </c>
      <c r="B10">
        <v>8</v>
      </c>
      <c r="C10" t="str">
        <f>'Analítica'!B19</f>
        <v>—</v>
      </c>
      <c r="D10" t="str">
        <f>'Analítica'!C19</f>
        <v/>
      </c>
      <c r="E10" t="str">
        <f>'Analítica'!D19</f>
        <v>Forma de madeira para estrutura (3 reaproveitamentos)</v>
      </c>
      <c r="F10" t="str">
        <f>'Analítica'!E19</f>
        <v>m²</v>
      </c>
      <c r="G10" s="96">
        <f>'Analítica'!F19</f>
        <v>310</v>
      </c>
      <c r="H10" s="41">
        <f>'Analítica'!G19</f>
        <v>62</v>
      </c>
      <c r="I10" s="41">
        <f>'Analítica'!H19</f>
        <v>19220</v>
      </c>
      <c r="J10" s="41">
        <f>'Analítica'!I19</f>
        <v>78.75</v>
      </c>
      <c r="K10" s="41">
        <f>'Analítica'!J19</f>
        <v>24412.5</v>
      </c>
    </row>
    <row r="11" spans="1:11" x14ac:dyDescent="0.25">
      <c r="A11" t="s">
        <v>125</v>
      </c>
      <c r="B11">
        <v>9</v>
      </c>
      <c r="C11" t="str">
        <f>'Analítica'!B22</f>
        <v>103355</v>
      </c>
      <c r="D11" t="str">
        <f>'Analítica'!C22</f>
        <v/>
      </c>
      <c r="E11" t="str">
        <f>'Analítica'!D22</f>
        <v>ALVENARIA DE VEDAÇÃO DE BLOCOS CERÂMICOS FURADOS NA HORIZONTAL DE 11,5X14X24 CM (ESPESSURA 11,5 CM) E ARGAMASSA DE ASSENTAMENTO COM PREPARO MANUAL. AF_12/2021</v>
      </c>
      <c r="F11" t="str">
        <f>'Analítica'!E22</f>
        <v>m²</v>
      </c>
      <c r="G11" s="96">
        <f>'Analítica'!F22</f>
        <v>420</v>
      </c>
      <c r="H11" s="41">
        <f>'Analítica'!G22</f>
        <v>106.08</v>
      </c>
      <c r="I11" s="41">
        <f>'Analítica'!H22</f>
        <v>44553.6</v>
      </c>
      <c r="J11" s="41">
        <f>'Analítica'!I22</f>
        <v>134.75</v>
      </c>
      <c r="K11" s="41">
        <f>'Analítica'!J22</f>
        <v>56595</v>
      </c>
    </row>
    <row r="12" spans="1:11" x14ac:dyDescent="0.25">
      <c r="A12" t="s">
        <v>125</v>
      </c>
      <c r="B12">
        <v>10</v>
      </c>
      <c r="C12" t="str">
        <f>'Analítica'!B23</f>
        <v>87905</v>
      </c>
      <c r="D12" t="str">
        <f>'Analítica'!C23</f>
        <v/>
      </c>
      <c r="E12" t="str">
        <f>'Analítica'!D23</f>
        <v>CHAPISCO APLICADO EM ALVENARIA (COM PRESENÇA DE VÃOS) E ESTRUTURAS DE CONCRETO DE FACHADA, COM COLHER DE PEDREIRO. ARGAMASSA TRAÇO 1:3 COM PREPARO EM BETONEIRA 400L. AF_10/2022</v>
      </c>
      <c r="F12" t="str">
        <f>'Analítica'!E23</f>
        <v>m²</v>
      </c>
      <c r="G12" s="96">
        <f>'Analítica'!F23</f>
        <v>780</v>
      </c>
      <c r="H12" s="41">
        <f>'Analítica'!G23</f>
        <v>9.57</v>
      </c>
      <c r="I12" s="41">
        <f>'Analítica'!H23</f>
        <v>7464.6</v>
      </c>
      <c r="J12" s="41">
        <f>'Analítica'!I23</f>
        <v>12.15</v>
      </c>
      <c r="K12" s="41">
        <f>'Analítica'!J23</f>
        <v>9477</v>
      </c>
    </row>
    <row r="13" spans="1:11" x14ac:dyDescent="0.25">
      <c r="A13" t="s">
        <v>125</v>
      </c>
      <c r="B13">
        <v>11</v>
      </c>
      <c r="C13" t="str">
        <f>'Analítica'!B24</f>
        <v>87775</v>
      </c>
      <c r="D13" t="str">
        <f>'Analítica'!C24</f>
        <v/>
      </c>
      <c r="E13" t="str">
        <f>'Analítica'!D24</f>
        <v>EMBOÇO OU MASSA ÚNICA EM ARGAMASSA TRAÇO 1:2:8, PREPARO MECÂNICO COM BETONEIRA 400 L, APLICADA MANUALMENTE EM PANOS DE FACHADA COM PRESENÇA DE VÃOS, ESPESSURA DE 25 MM. AF_08/2022</v>
      </c>
      <c r="F13" t="str">
        <f>'Analítica'!E24</f>
        <v>m²</v>
      </c>
      <c r="G13" s="96">
        <f>'Analítica'!F24</f>
        <v>780</v>
      </c>
      <c r="H13" s="41">
        <f>'Analítica'!G24</f>
        <v>64.69</v>
      </c>
      <c r="I13" s="41">
        <f>'Analítica'!H24</f>
        <v>50458.2</v>
      </c>
      <c r="J13" s="41">
        <f>'Analítica'!I24</f>
        <v>82.17</v>
      </c>
      <c r="K13" s="41">
        <f>'Analítica'!J24</f>
        <v>64092.6</v>
      </c>
    </row>
    <row r="14" spans="1:11" x14ac:dyDescent="0.25">
      <c r="A14" t="s">
        <v>136</v>
      </c>
      <c r="B14">
        <v>12</v>
      </c>
      <c r="C14" t="str">
        <f>'Analítica'!B27</f>
        <v>—</v>
      </c>
      <c r="D14" t="str">
        <f>'Analítica'!C27</f>
        <v/>
      </c>
      <c r="E14" t="str">
        <f>'Analítica'!D27</f>
        <v>Instalações elétricas — ponto completo (tubulação+fiação+dispositivo)</v>
      </c>
      <c r="F14" t="str">
        <f>'Analítica'!E27</f>
        <v>un</v>
      </c>
      <c r="G14" s="96">
        <f>'Analítica'!F27</f>
        <v>96</v>
      </c>
      <c r="H14" s="41">
        <f>'Analítica'!G27</f>
        <v>142</v>
      </c>
      <c r="I14" s="41">
        <f>'Analítica'!H27</f>
        <v>13632</v>
      </c>
      <c r="J14" s="41">
        <f>'Analítica'!I27</f>
        <v>180.38</v>
      </c>
      <c r="K14" s="41">
        <f>'Analítica'!J27</f>
        <v>17316.48</v>
      </c>
    </row>
    <row r="15" spans="1:11" x14ac:dyDescent="0.25">
      <c r="A15" t="s">
        <v>136</v>
      </c>
      <c r="B15">
        <v>13</v>
      </c>
      <c r="C15" t="str">
        <f>'Analítica'!B28</f>
        <v>—</v>
      </c>
      <c r="D15" t="str">
        <f>'Analítica'!C28</f>
        <v/>
      </c>
      <c r="E15" t="str">
        <f>'Analítica'!D28</f>
        <v>Instalações hidrossanitárias — ponto de água/esgoto completo</v>
      </c>
      <c r="F15" t="str">
        <f>'Analítica'!E28</f>
        <v>un</v>
      </c>
      <c r="G15" s="96">
        <f>'Analítica'!F28</f>
        <v>54</v>
      </c>
      <c r="H15" s="41">
        <f>'Analítica'!G28</f>
        <v>178</v>
      </c>
      <c r="I15" s="41">
        <f>'Analítica'!H28</f>
        <v>9612</v>
      </c>
      <c r="J15" s="41">
        <f>'Analítica'!I28</f>
        <v>226.11</v>
      </c>
      <c r="K15" s="41">
        <f>'Analítica'!J28</f>
        <v>12209.94</v>
      </c>
    </row>
    <row r="16" spans="1:11" x14ac:dyDescent="0.25">
      <c r="A16" t="s">
        <v>144</v>
      </c>
      <c r="B16">
        <v>14</v>
      </c>
      <c r="C16" t="str">
        <f>'Analítica'!B31</f>
        <v>87263</v>
      </c>
      <c r="D16" t="str">
        <f>'Analítica'!C31</f>
        <v/>
      </c>
      <c r="E16" t="str">
        <f>'Analítica'!D31</f>
        <v>REVESTIMENTO CERÂMICO PARA PISO COM PLACAS TIPO PORCELANATO DE DIMENSÕES 60X60 CM APLICADA EM AMBIENTES DE ÁREA MAIOR QUE 10 M². AF_02/2023_PE</v>
      </c>
      <c r="F16" t="str">
        <f>'Analítica'!E31</f>
        <v>m²</v>
      </c>
      <c r="G16" s="96">
        <f>'Analítica'!F31</f>
        <v>180</v>
      </c>
      <c r="H16" s="41">
        <f>'Analítica'!G31</f>
        <v>115.99</v>
      </c>
      <c r="I16" s="41">
        <f>'Analítica'!H31</f>
        <v>20878.2</v>
      </c>
      <c r="J16" s="41">
        <f>'Analítica'!I31</f>
        <v>147.34</v>
      </c>
      <c r="K16" s="41">
        <f>'Analítica'!J31</f>
        <v>26521.2</v>
      </c>
    </row>
    <row r="17" spans="1:11" x14ac:dyDescent="0.25">
      <c r="A17" t="s">
        <v>144</v>
      </c>
      <c r="B17">
        <v>15</v>
      </c>
      <c r="C17" t="str">
        <f>'Analítica'!B32</f>
        <v>88489</v>
      </c>
      <c r="D17" t="str">
        <f>'Analítica'!C32</f>
        <v/>
      </c>
      <c r="E17" t="str">
        <f>'Analítica'!D32</f>
        <v>PINTURA LÁTEX ACRÍLICA PREMIUM, APLICAÇÃO MANUAL EM PAREDES, DUAS DEMÃOS. AF_04/2023</v>
      </c>
      <c r="F17" t="str">
        <f>'Analítica'!E32</f>
        <v>m²</v>
      </c>
      <c r="G17" s="96">
        <f>'Analítica'!F32</f>
        <v>920</v>
      </c>
      <c r="H17" s="41">
        <f>'Analítica'!G32</f>
        <v>14.91</v>
      </c>
      <c r="I17" s="41">
        <f>'Analítica'!H32</f>
        <v>13717.2</v>
      </c>
      <c r="J17" s="41">
        <f>'Analítica'!I32</f>
        <v>18.94</v>
      </c>
      <c r="K17" s="41">
        <f>'Analítica'!J32</f>
        <v>17424.8</v>
      </c>
    </row>
  </sheetData>
  <pageMargins left="0.4" right="0.4" top="0.55" bottom="0.55" header="0.2" footer="0.25"/>
  <pageSetup paperSize="9" orientation="landscape" fitToWidth="1" fitToHeight="0"/>
  <headerFooter>
    <oddFooter>&amp;L&amp;8OrçaPRO — ORC-2026-4384&amp;C&amp;8Construtora Modelo Ltda&amp;R&amp;8Pág. &amp;P de &amp;N</oddFooter>
  </headerFooter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6A34A"/>
    <pageSetUpPr fitToPage="1"/>
  </sheetPr>
  <dimension ref="A1:A29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97" t="s">
        <v>365</v>
      </c>
    </row>
    <row r="2" spans="1:1" x14ac:dyDescent="0.25">
      <c r="A2" s="98" t="s">
        <v>366</v>
      </c>
    </row>
    <row r="3" spans="1:1" x14ac:dyDescent="0.25">
      <c r="A3" s="99" t="s">
        <v>323</v>
      </c>
    </row>
    <row r="4" spans="1:1" x14ac:dyDescent="0.25">
      <c r="A4" s="100" t="s">
        <v>367</v>
      </c>
    </row>
    <row r="5" spans="1:1" x14ac:dyDescent="0.25">
      <c r="A5" s="99" t="s">
        <v>368</v>
      </c>
    </row>
    <row r="6" spans="1:1" x14ac:dyDescent="0.25">
      <c r="A6" s="99" t="s">
        <v>369</v>
      </c>
    </row>
    <row r="7" spans="1:1" x14ac:dyDescent="0.25">
      <c r="A7" s="99" t="s">
        <v>370</v>
      </c>
    </row>
    <row r="8" spans="1:1" x14ac:dyDescent="0.25">
      <c r="A8" s="99" t="s">
        <v>371</v>
      </c>
    </row>
    <row r="9" spans="1:1" x14ac:dyDescent="0.25">
      <c r="A9" s="99" t="s">
        <v>372</v>
      </c>
    </row>
    <row r="10" spans="1:1" x14ac:dyDescent="0.25">
      <c r="A10" s="99" t="s">
        <v>373</v>
      </c>
    </row>
    <row r="11" spans="1:1" x14ac:dyDescent="0.25">
      <c r="A11" s="99" t="s">
        <v>374</v>
      </c>
    </row>
    <row r="12" spans="1:1" x14ac:dyDescent="0.25">
      <c r="A12" s="99" t="s">
        <v>323</v>
      </c>
    </row>
    <row r="13" spans="1:1" x14ac:dyDescent="0.25">
      <c r="A13" s="99" t="s">
        <v>375</v>
      </c>
    </row>
    <row r="14" spans="1:1" x14ac:dyDescent="0.25">
      <c r="A14" s="99" t="s">
        <v>376</v>
      </c>
    </row>
    <row r="15" spans="1:1" x14ac:dyDescent="0.25">
      <c r="A15" s="99" t="s">
        <v>377</v>
      </c>
    </row>
    <row r="16" spans="1:1" x14ac:dyDescent="0.25">
      <c r="A16" s="99" t="s">
        <v>323</v>
      </c>
    </row>
    <row r="17" spans="1:1" x14ac:dyDescent="0.25">
      <c r="A17" s="99" t="s">
        <v>378</v>
      </c>
    </row>
    <row r="18" spans="1:1" x14ac:dyDescent="0.25">
      <c r="A18" s="99" t="s">
        <v>379</v>
      </c>
    </row>
    <row r="19" spans="1:1" x14ac:dyDescent="0.25">
      <c r="A19" s="99" t="s">
        <v>323</v>
      </c>
    </row>
    <row r="20" spans="1:1" x14ac:dyDescent="0.25">
      <c r="A20" s="99" t="s">
        <v>380</v>
      </c>
    </row>
    <row r="21" spans="1:1" x14ac:dyDescent="0.25">
      <c r="A21" s="99" t="s">
        <v>381</v>
      </c>
    </row>
    <row r="22" spans="1:1" x14ac:dyDescent="0.25">
      <c r="A22" s="99" t="s">
        <v>323</v>
      </c>
    </row>
    <row r="23" spans="1:1" x14ac:dyDescent="0.25">
      <c r="A23" s="99" t="s">
        <v>382</v>
      </c>
    </row>
    <row r="24" spans="1:1" x14ac:dyDescent="0.25">
      <c r="A24" s="99" t="s">
        <v>383</v>
      </c>
    </row>
    <row r="25" spans="1:1" x14ac:dyDescent="0.25">
      <c r="A25" s="99" t="s">
        <v>384</v>
      </c>
    </row>
    <row r="26" spans="1:1" x14ac:dyDescent="0.25">
      <c r="A26" s="99" t="s">
        <v>323</v>
      </c>
    </row>
    <row r="27" spans="1:1" x14ac:dyDescent="0.25">
      <c r="A27" s="99" t="s">
        <v>385</v>
      </c>
    </row>
    <row r="28" spans="1:1" x14ac:dyDescent="0.25">
      <c r="A28" s="99" t="s">
        <v>386</v>
      </c>
    </row>
    <row r="29" spans="1:1" x14ac:dyDescent="0.25">
      <c r="A29" s="99" t="s">
        <v>387</v>
      </c>
    </row>
  </sheetData>
  <sheetProtection sheet="1" sort="0" autoFilter="0" algorithmName="SHA-512" hashValue="Dw47OezuSu+0ZKFL3cVKRTRWDU6hXjN0mvJKq29ldD/cAiqv9j84xs+9beGa++I5fK8tmZxONiIoQ5kelay8Gw==" saltValue="GgoiGJwM6rX8fXuLgJUBIw==" spinCount="100000"/>
  <pageMargins left="0.4" right="0.4" top="0.55" bottom="0.55" header="0.2" footer="0.25"/>
  <pageSetup paperSize="9" orientation="portrait" fitToWidth="1" fitToHeight="0"/>
  <headerFooter>
    <oddFooter>&amp;L&amp;8OrçaPRO — ORC-2026-4384&amp;C&amp;8Construtora Modelo Ltda&amp;R&amp;8Pág. &amp;P de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FormatPr defaultRowHeight="15" outlineLevelRow="0" outlineLevelCol="0" x14ac:dyDescent="55"/>
  <sheetData>
    <row r="1" spans="1:1" x14ac:dyDescent="0.25">
      <c r="A1" t="s">
        <v>388</v>
      </c>
    </row>
    <row r="2" spans="1:1" x14ac:dyDescent="0.25">
      <c r="A2" t="s">
        <v>389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Resumo</vt:lpstr>
      <vt:lpstr>Sintética</vt:lpstr>
      <vt:lpstr>Analítica</vt:lpstr>
      <vt:lpstr>Parâmetros</vt:lpstr>
      <vt:lpstr>Insumos</vt:lpstr>
      <vt:lpstr>Curva ABC</vt:lpstr>
      <vt:lpstr>Cronograma</vt:lpstr>
      <vt:lpstr>Gantt</vt:lpstr>
      <vt:lpstr>Feriados</vt:lpstr>
      <vt:lpstr>Gráficos</vt:lpstr>
      <vt:lpstr>Dados IA</vt:lpstr>
      <vt:lpstr>Leia-me</vt:lpstr>
      <vt:lpstr>_meta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OrçaPRO IA</dc:creator>
  <dc:title/>
  <dc:subject/>
  <dc:description/>
  <cp:keywords/>
  <cp:category/>
  <cp:lastModifiedBy>Unknown</cp:lastModifiedBy>
  <dcterms:created xsi:type="dcterms:W3CDTF">2026-09-08T20:28:44Z</dcterms:created>
  <dcterms:modified xsi:type="dcterms:W3CDTF">2026-09-08T20:28:47Z</dcterms:modified>
</cp:coreProperties>
</file>